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722" activeTab="0"/>
  </bookViews>
  <sheets>
    <sheet name="2012-2016 (pagal projektus) " sheetId="1" r:id="rId1"/>
    <sheet name="Vandenruoša" sheetId="2" state="hidden" r:id="rId2"/>
    <sheet name="Tinklai" sheetId="3" state="hidden" r:id="rId3"/>
    <sheet name="Nuotekos" sheetId="4" state="hidden" r:id="rId4"/>
    <sheet name="Ukis" sheetId="5" state="hidden" r:id="rId5"/>
    <sheet name="Pardavimai" sheetId="6" state="hidden" r:id="rId6"/>
    <sheet name="Investic.projektai" sheetId="7" r:id="rId7"/>
    <sheet name="Investic.projektai rajon." sheetId="8" r:id="rId8"/>
    <sheet name="Projektai is paskolos" sheetId="9" state="hidden" r:id="rId9"/>
    <sheet name="Projektai is paskolos (rezerv.)" sheetId="10" state="hidden" r:id="rId10"/>
  </sheets>
  <externalReferences>
    <externalReference r:id="rId13"/>
  </externalReferences>
  <definedNames>
    <definedName name="_xlnm.Print_Area" localSheetId="0">'2012-2016 (pagal projektus) '!$A$1:$Q$128</definedName>
    <definedName name="_xlnm.Print_Area" localSheetId="3">'Nuotekos'!$A$74:$P$126</definedName>
    <definedName name="_xlnm.Print_Area" localSheetId="2">'Tinklai'!$A$55:$W$126</definedName>
    <definedName name="_xlnm.Print_Area" localSheetId="4">'Ukis'!$A$66:$Q$97</definedName>
    <definedName name="_xlnm.Print_Area" localSheetId="1">'Vandenruoša'!$A$35:$X$141</definedName>
    <definedName name="_xlnm.Print_Titles" localSheetId="0">'2012-2016 (pagal projektus) '!$11:$12</definedName>
    <definedName name="_xlnm.Print_Titles" localSheetId="6">'Investic.projektai'!$3:$4</definedName>
    <definedName name="_xlnm.Print_Titles" localSheetId="7">'Investic.projektai rajon.'!$3:$4</definedName>
    <definedName name="_xlnm.Print_Titles" localSheetId="3">'Nuotekos'!$4:$5</definedName>
    <definedName name="_xlnm.Print_Titles" localSheetId="5">'Pardavimai'!$4:$5</definedName>
    <definedName name="_xlnm.Print_Titles" localSheetId="2">'Tinklai'!$4:$5</definedName>
    <definedName name="_xlnm.Print_Titles" localSheetId="4">'Ukis'!$4:$5</definedName>
    <definedName name="_xlnm.Print_Titles" localSheetId="1">'Vandenruoša'!$4:$5</definedName>
  </definedNames>
  <calcPr fullCalcOnLoad="1"/>
</workbook>
</file>

<file path=xl/comments1.xml><?xml version="1.0" encoding="utf-8"?>
<comments xmlns="http://schemas.openxmlformats.org/spreadsheetml/2006/main">
  <authors>
    <author>EgleA</author>
  </authors>
  <commentList>
    <comment ref="C11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comments2.xml><?xml version="1.0" encoding="utf-8"?>
<comments xmlns="http://schemas.openxmlformats.org/spreadsheetml/2006/main">
  <authors>
    <author>EgleA</author>
  </authors>
  <commentList>
    <comment ref="C4" authorId="0">
      <text>
        <r>
          <rPr>
            <b/>
            <sz val="8"/>
            <rFont val="Tahoma"/>
            <family val="2"/>
          </rPr>
          <t>Šiame stulpelyje įrašyti duomenis tik jeigu projektas pradėtas iki 2009 m. ir nebuvo baigtas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comments3.xml><?xml version="1.0" encoding="utf-8"?>
<comments xmlns="http://schemas.openxmlformats.org/spreadsheetml/2006/main">
  <authors>
    <author>EgleA</author>
  </authors>
  <commentList>
    <comment ref="C4" authorId="0">
      <text>
        <r>
          <rPr>
            <b/>
            <sz val="8"/>
            <rFont val="Tahoma"/>
            <family val="2"/>
          </rPr>
          <t>Šiame stulpelyje įrašyti duomenis tik jeigu projektas pradėtas iki 2009 m. ir nebuvo baigtas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comments4.xml><?xml version="1.0" encoding="utf-8"?>
<comments xmlns="http://schemas.openxmlformats.org/spreadsheetml/2006/main">
  <authors>
    <author>EgleA</author>
    <author>Zydrunas</author>
    <author>Žydrūnas Mašeckis</author>
  </authors>
  <commentList>
    <comment ref="C4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  <comment ref="E92" authorId="1">
      <text>
        <r>
          <rPr>
            <b/>
            <sz val="9"/>
            <rFont val="Tahoma"/>
            <family val="2"/>
          </rPr>
          <t>Zydrunas:</t>
        </r>
        <r>
          <rPr>
            <sz val="9"/>
            <rFont val="Tahoma"/>
            <family val="2"/>
          </rPr>
          <t xml:space="preserve">
NS Nr 19 laiptu rekostrukcija</t>
        </r>
      </text>
    </comment>
    <comment ref="F92" authorId="1">
      <text>
        <r>
          <rPr>
            <b/>
            <sz val="9"/>
            <rFont val="Tahoma"/>
            <family val="2"/>
          </rPr>
          <t>Zydrunas:</t>
        </r>
        <r>
          <rPr>
            <sz val="9"/>
            <rFont val="Tahoma"/>
            <family val="2"/>
          </rPr>
          <t xml:space="preserve">
NS Nr 6 ir Nr 19 apsvietimo rekostrukcija</t>
        </r>
      </text>
    </comment>
    <comment ref="J92" authorId="2">
      <text>
        <r>
          <rPr>
            <b/>
            <sz val="8"/>
            <rFont val="Tahoma"/>
            <family val="2"/>
          </rPr>
          <t>Žydrūnas Mašeckis:</t>
        </r>
        <r>
          <rPr>
            <sz val="8"/>
            <rFont val="Tahoma"/>
            <family val="2"/>
          </rPr>
          <t xml:space="preserve">
NS Nr.3 teritorijos sutvarkymas</t>
        </r>
      </text>
    </comment>
    <comment ref="K92" authorId="2">
      <text>
        <r>
          <rPr>
            <b/>
            <sz val="8"/>
            <rFont val="Tahoma"/>
            <family val="2"/>
          </rPr>
          <t>Žydrūnas Mašeckis:</t>
        </r>
        <r>
          <rPr>
            <sz val="8"/>
            <rFont val="Tahoma"/>
            <family val="2"/>
          </rPr>
          <t xml:space="preserve">
NS Nr.5 ir Nr.14 vidaus apdaila </t>
        </r>
      </text>
    </comment>
    <comment ref="L92" authorId="2">
      <text>
        <r>
          <rPr>
            <b/>
            <sz val="8"/>
            <rFont val="Tahoma"/>
            <family val="2"/>
          </rPr>
          <t>Žydrūnas Mašeckis:</t>
        </r>
        <r>
          <rPr>
            <sz val="8"/>
            <rFont val="Tahoma"/>
            <family val="2"/>
          </rPr>
          <t xml:space="preserve">
NS Nr.28 išorės apdaila</t>
        </r>
      </text>
    </comment>
    <comment ref="F93" authorId="1">
      <text>
        <r>
          <rPr>
            <b/>
            <sz val="9"/>
            <rFont val="Tahoma"/>
            <family val="2"/>
          </rPr>
          <t>Zydrunas:</t>
        </r>
        <r>
          <rPr>
            <sz val="9"/>
            <rFont val="Tahoma"/>
            <family val="2"/>
          </rPr>
          <t xml:space="preserve">
Hidraulines sklendes keitimas, lygio kolektoriuje irengimas, vandentiekio vamzdynu pakeitimas</t>
        </r>
      </text>
    </comment>
    <comment ref="E97" authorId="2">
      <text>
        <r>
          <rPr>
            <b/>
            <sz val="8"/>
            <rFont val="Tahoma"/>
            <family val="2"/>
          </rPr>
          <t>Žydrūnas Mašeckis:</t>
        </r>
        <r>
          <rPr>
            <sz val="8"/>
            <rFont val="Tahoma"/>
            <family val="2"/>
          </rPr>
          <t xml:space="preserve">
NS Nr.2 nuotekų siurblys</t>
        </r>
      </text>
    </comment>
    <comment ref="E100" authorId="2">
      <text>
        <r>
          <rPr>
            <b/>
            <sz val="8"/>
            <rFont val="Tahoma"/>
            <family val="2"/>
          </rPr>
          <t>Žydrūnas Mašeckis:</t>
        </r>
        <r>
          <rPr>
            <sz val="8"/>
            <rFont val="Tahoma"/>
            <family val="2"/>
          </rPr>
          <t xml:space="preserve">
NS Nr.17 grotų patalpos telferio pirkimas</t>
        </r>
      </text>
    </comment>
  </commentList>
</comments>
</file>

<file path=xl/comments5.xml><?xml version="1.0" encoding="utf-8"?>
<comments xmlns="http://schemas.openxmlformats.org/spreadsheetml/2006/main">
  <authors>
    <author>EgleA</author>
    <author>IT</author>
  </authors>
  <commentList>
    <comment ref="C4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  <comment ref="L70" authorId="1">
      <text>
        <r>
          <rPr>
            <b/>
            <sz val="8"/>
            <rFont val="Tahoma"/>
            <family val="2"/>
          </rPr>
          <t>IT:</t>
        </r>
        <r>
          <rPr>
            <sz val="8"/>
            <rFont val="Tahoma"/>
            <family val="2"/>
          </rPr>
          <t xml:space="preserve">
PPA programa, Pirkimo plano programa, Intranet</t>
        </r>
      </text>
    </comment>
  </commentList>
</comments>
</file>

<file path=xl/comments6.xml><?xml version="1.0" encoding="utf-8"?>
<comments xmlns="http://schemas.openxmlformats.org/spreadsheetml/2006/main">
  <authors>
    <author>EgleA</author>
  </authors>
  <commentList>
    <comment ref="C4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comments7.xml><?xml version="1.0" encoding="utf-8"?>
<comments xmlns="http://schemas.openxmlformats.org/spreadsheetml/2006/main">
  <authors>
    <author>EgleA</author>
  </authors>
  <commentList>
    <comment ref="C3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comments8.xml><?xml version="1.0" encoding="utf-8"?>
<comments xmlns="http://schemas.openxmlformats.org/spreadsheetml/2006/main">
  <authors>
    <author>EgleA</author>
  </authors>
  <commentList>
    <comment ref="C3" authorId="0">
      <text>
        <r>
          <rPr>
            <b/>
            <sz val="8"/>
            <rFont val="Tahoma"/>
            <family val="2"/>
          </rPr>
          <t>Šiame stulpelyje įrašyti duomenys tik jeigu projektas pradėtas iki 2012 m. ir nebuvo baigtas</t>
        </r>
      </text>
    </comment>
  </commentList>
</comments>
</file>

<file path=xl/sharedStrings.xml><?xml version="1.0" encoding="utf-8"?>
<sst xmlns="http://schemas.openxmlformats.org/spreadsheetml/2006/main" count="1217" uniqueCount="610">
  <si>
    <t xml:space="preserve">ilgalaikio turto atnaujinimui lėšų panaudojimo planas  </t>
  </si>
  <si>
    <t>Eil.</t>
  </si>
  <si>
    <t>Įsigytas (atstatytas) ilgalaikis</t>
  </si>
  <si>
    <t>Atlikta iki 2009</t>
  </si>
  <si>
    <t xml:space="preserve">Patvirt. 2009 </t>
  </si>
  <si>
    <t>Nr.</t>
  </si>
  <si>
    <t xml:space="preserve"> t  u  r  t  a  s</t>
  </si>
  <si>
    <t>plane</t>
  </si>
  <si>
    <t>I</t>
  </si>
  <si>
    <t>II</t>
  </si>
  <si>
    <t>III</t>
  </si>
  <si>
    <t>IV</t>
  </si>
  <si>
    <t>Iš viso</t>
  </si>
  <si>
    <t>1.</t>
  </si>
  <si>
    <t>Ilgalaikio turto įsigijimo šaltiniai</t>
  </si>
  <si>
    <t>1.1</t>
  </si>
  <si>
    <t>Ilgalaikio turto nusidėvėjimo atstatymo lėšos</t>
  </si>
  <si>
    <t>1.2</t>
  </si>
  <si>
    <t>Pinigų likutis laikotarpio pradžioje</t>
  </si>
  <si>
    <t>1.3</t>
  </si>
  <si>
    <t>Pelnas (nuostolis)</t>
  </si>
  <si>
    <t>1.4</t>
  </si>
  <si>
    <t>Skolų mažinimas</t>
  </si>
  <si>
    <t>1.5</t>
  </si>
  <si>
    <t>Terminuoti indėliai</t>
  </si>
  <si>
    <t>2.</t>
  </si>
  <si>
    <t>Paskolos poreikis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</si>
  <si>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</si>
  <si>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</si>
  <si>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Nepanaudotos lėšos</t>
  </si>
  <si>
    <t>4.</t>
  </si>
  <si>
    <t>Lėšų panaudojimas</t>
  </si>
  <si>
    <t>4.1.</t>
  </si>
  <si>
    <t>Paskolų grąžinimui</t>
  </si>
  <si>
    <t>4.2.</t>
  </si>
  <si>
    <t>4.2.1</t>
  </si>
  <si>
    <t>4.2.2</t>
  </si>
  <si>
    <t>4.2.3</t>
  </si>
  <si>
    <t>4.2.4</t>
  </si>
  <si>
    <t>4.2.5</t>
  </si>
  <si>
    <t>4.2.6</t>
  </si>
  <si>
    <t xml:space="preserve">AB "Klaipėdos vanduo" 2012-2016 m.  infrastruktūros plėtrai ir nusidėvėjusio </t>
  </si>
  <si>
    <t>Atlikta iki 2012</t>
  </si>
  <si>
    <t>Investicijų ir plėtros projektams įgyvendinti</t>
  </si>
  <si>
    <t xml:space="preserve">Ilgalaikio turto įsigijimui </t>
  </si>
  <si>
    <t>4.3.</t>
  </si>
  <si>
    <t>Ilgalaikio turto atstatymui</t>
  </si>
  <si>
    <t>4.3.1</t>
  </si>
  <si>
    <t>4.4.</t>
  </si>
  <si>
    <t>4.4.1</t>
  </si>
  <si>
    <t>4.3.2</t>
  </si>
  <si>
    <t>4.3.3</t>
  </si>
  <si>
    <t>4.3.4</t>
  </si>
  <si>
    <t>4.3.5</t>
  </si>
  <si>
    <t>4.4.2</t>
  </si>
  <si>
    <t>4.4.3</t>
  </si>
  <si>
    <t>4.4.4</t>
  </si>
  <si>
    <t>4.4.5</t>
  </si>
  <si>
    <t>Geriamojo vandens gavyba</t>
  </si>
  <si>
    <t>Geriamojo vandens ruošimas</t>
  </si>
  <si>
    <t>Geriamojo vandens pristatymas</t>
  </si>
  <si>
    <t>4.4.6</t>
  </si>
  <si>
    <t>4.3.6</t>
  </si>
  <si>
    <t>Priekulės vandenvietė (naujos įkūrimas)</t>
  </si>
  <si>
    <t xml:space="preserve">4.2. </t>
  </si>
  <si>
    <t>Lėšų panaudojimas Klaipėdos mieste</t>
  </si>
  <si>
    <t>4.2.1.1</t>
  </si>
  <si>
    <t>4.2.1.2</t>
  </si>
  <si>
    <t>4.2.1.3</t>
  </si>
  <si>
    <t>4.2.1.4</t>
  </si>
  <si>
    <t>4.2.1.5</t>
  </si>
  <si>
    <t>4.2.1.6</t>
  </si>
  <si>
    <t>Lėšų panaudojimas Klaipėdos rajone</t>
  </si>
  <si>
    <t xml:space="preserve">4.3. </t>
  </si>
  <si>
    <t>4.3.1.1</t>
  </si>
  <si>
    <t>4.3.1.2</t>
  </si>
  <si>
    <t>4.3.1.3</t>
  </si>
  <si>
    <t>4.3.1.4</t>
  </si>
  <si>
    <t>4.3.1.5</t>
  </si>
  <si>
    <t>4.3.1.6</t>
  </si>
  <si>
    <t>Vandens ruošyklos (9 vnt.)</t>
  </si>
  <si>
    <t>Vandenruošos departamentas</t>
  </si>
  <si>
    <t>Vandenruošos departamentas(miestas)</t>
  </si>
  <si>
    <t>Vandenruošos departamentas(rajonas)</t>
  </si>
  <si>
    <t>1-oji vandenvietė</t>
  </si>
  <si>
    <t>Atnaujinimas</t>
  </si>
  <si>
    <t>4.2.1.1.2</t>
  </si>
  <si>
    <t>Smulkios įrangos įsigijimas, atnaujinimas</t>
  </si>
  <si>
    <t>4.2.1.1.5</t>
  </si>
  <si>
    <t>Tvoros remontas</t>
  </si>
  <si>
    <t>4.2.1.1.6</t>
  </si>
  <si>
    <t xml:space="preserve"> Gręžinio Nr. 12/1 kolonos įvilkimas</t>
  </si>
  <si>
    <t>4.2.1.1.7</t>
  </si>
  <si>
    <t>Gręžinių giluminių siurblių atnaujinimas</t>
  </si>
  <si>
    <t>Nauji</t>
  </si>
  <si>
    <t>4.2.1.1.8</t>
  </si>
  <si>
    <t>Antro kėlimo siurblių atnaujinimas</t>
  </si>
  <si>
    <t>4.2.1.1.9</t>
  </si>
  <si>
    <t>Orapūtės atnaujinimas</t>
  </si>
  <si>
    <t>4.2.1.1.11</t>
  </si>
  <si>
    <t>Aeracinių koštuvų oro ištraukimo sistemo remontas</t>
  </si>
  <si>
    <t>4.2.1.1.12</t>
  </si>
  <si>
    <t>Mobili elektros stotis 200 kWh</t>
  </si>
  <si>
    <t>4.2.1.1.13</t>
  </si>
  <si>
    <t>Pilna vandenvietės automatizacija</t>
  </si>
  <si>
    <t>Dumpių vandenvietė</t>
  </si>
  <si>
    <t>Vandenvietės apskaitos sistemos įrengimas</t>
  </si>
  <si>
    <t>Smulkios įrangos atnaujinimas, įsigijimas</t>
  </si>
  <si>
    <t>4.2.1.2.2</t>
  </si>
  <si>
    <t>Gręžinių kolonų remontas 2 vnt.</t>
  </si>
  <si>
    <t>3-čio kėlimo siurblinės</t>
  </si>
  <si>
    <t>4.2.1.3.2</t>
  </si>
  <si>
    <t xml:space="preserve"> Siurblių ir įrangos atnaujinimas 3-čiojo pakėlimo siurblinėse</t>
  </si>
  <si>
    <t>Priekulės vandenvietės</t>
  </si>
  <si>
    <t>4.2.1.4.1</t>
  </si>
  <si>
    <t>4.2.1.4.1.2</t>
  </si>
  <si>
    <t>Vandenvietės sklypo formavimas ir detaliojo plano parengimas</t>
  </si>
  <si>
    <t>4.2.1.4.1.3</t>
  </si>
  <si>
    <t>Vandenvietės projektavimas ir statyba</t>
  </si>
  <si>
    <t>Žardupės g. vandenvietė</t>
  </si>
  <si>
    <t>3-oji vandenvietė</t>
  </si>
  <si>
    <t>4.2.1.6.1</t>
  </si>
  <si>
    <t>3-osios vandenvietės sanitarinės zonos nustatymo projektas ir SAZ plano parengimas</t>
  </si>
  <si>
    <t>4.2.1.6.2</t>
  </si>
  <si>
    <t>3-ios vandenvietės 2-jo kėlimo stoties galingumų mažinimo studija, techninis projektas, siurblinės rekonstrukcija</t>
  </si>
  <si>
    <t>4.2.1.6.3</t>
  </si>
  <si>
    <t>Magistralinio drenų vandens surinkimo vamzdyno remontas</t>
  </si>
  <si>
    <t>4.2.1.6.5</t>
  </si>
  <si>
    <t>3-iosios vandenvietės geriamojo vandens rezervuaro Nr.4 remonto projektas ir darbai</t>
  </si>
  <si>
    <t>4.2.1.6.6</t>
  </si>
  <si>
    <t>3-ios vandenvietės apvandeninimo siurblinės rekonstrukcija</t>
  </si>
  <si>
    <t>4.2.1.6.7</t>
  </si>
  <si>
    <t>4.2.1.6.8</t>
  </si>
  <si>
    <t>3-ios vandenvietės  drenų siurblių šachtų ir valdymo paviljonų remontas.</t>
  </si>
  <si>
    <t>4.2.1.6.9</t>
  </si>
  <si>
    <t>3-ios vandenvietės sklendžių kamerų Nr.3 ir Nr.4 vamzdynų remontas</t>
  </si>
  <si>
    <t>4.2.1.6.12</t>
  </si>
  <si>
    <t>4.2.1.6.13</t>
  </si>
  <si>
    <t>Šiluminės trasos atnaujinimas</t>
  </si>
  <si>
    <t>4.2.1.6.14</t>
  </si>
  <si>
    <t>Siurblių atnaujinimas drenose</t>
  </si>
  <si>
    <t>4.2.1.6.15</t>
  </si>
  <si>
    <t>3-ios vandenvietės elektros paskirstymo įrangos atnaujinimas</t>
  </si>
  <si>
    <t>4.2.1.6.16</t>
  </si>
  <si>
    <t>Vandenvietės pastatų rekonstrukcija</t>
  </si>
  <si>
    <t>4.2.1.6.17</t>
  </si>
  <si>
    <t>3-ios vandenvietės sklendžių kamerų Nr.3,  Nr.4 ir Nr.5 įrangos atnaujinimas</t>
  </si>
  <si>
    <t>4.2.1.6.18</t>
  </si>
  <si>
    <t>3-osios vandenvietės filtrų pastato  sienų remontas ir dažymas.</t>
  </si>
  <si>
    <t>Natrio permanganato talpos užpildymo siublys</t>
  </si>
  <si>
    <t>Traktorius su įranga žolės pjovimui</t>
  </si>
  <si>
    <t>Fekalinis panardinamas siurblys 80 m3/h</t>
  </si>
  <si>
    <t>Fekalinis panardinamas siurblys 20 m3/h</t>
  </si>
  <si>
    <t>Trimeris</t>
  </si>
  <si>
    <t>Polimero dozavimo siurblys</t>
  </si>
  <si>
    <t xml:space="preserve">Smėlio recirkuliacinis siurblys </t>
  </si>
  <si>
    <t>Slėptuvės remontas</t>
  </si>
  <si>
    <t>4.2.1.7</t>
  </si>
  <si>
    <t>Geriamojo vandens tyrimo laboratorija</t>
  </si>
  <si>
    <t>4.2.1.7.1</t>
  </si>
  <si>
    <t>Laboratorinė įranga</t>
  </si>
  <si>
    <t>4.2.1.7.2</t>
  </si>
  <si>
    <t>Prietaisas sunkiųjų metalų nustatymui</t>
  </si>
  <si>
    <t>Karklės vandenvietė</t>
  </si>
  <si>
    <t>Vandens bokšto ir artezinio šulinio įrangos atnaujinimas</t>
  </si>
  <si>
    <t xml:space="preserve">Vizualizacija, automatizacija ir įvedimas į SCADA </t>
  </si>
  <si>
    <t>Vandens ruošykla projektavimas ir statyba</t>
  </si>
  <si>
    <t>Vandenvietės sklypo sanitarinės apsaugos zonos steigimas</t>
  </si>
  <si>
    <t>Klaipėdos  rajono vandenvietės 12(3x4) vnt. (geras vanduo)</t>
  </si>
  <si>
    <t>Klaipėdos  rajono vandenvietės 3 vnt.</t>
  </si>
  <si>
    <t>Vandens bruošykla projektavimas ir statyba</t>
  </si>
  <si>
    <t>1.1.</t>
  </si>
  <si>
    <t>1.2.</t>
  </si>
  <si>
    <t>Vandenviečių smulkios įrangos atnaujinimas</t>
  </si>
  <si>
    <t>Vandenviečių įrengimų atnaujinimas</t>
  </si>
  <si>
    <t xml:space="preserve">Vandenviečių statinių atnaujinimas </t>
  </si>
  <si>
    <t>Vandenviečių automatizavimo atnaujinimas</t>
  </si>
  <si>
    <t>Vandenviečių automatizavimas</t>
  </si>
  <si>
    <t>Vandenviečių siurblių atnaujinimas</t>
  </si>
  <si>
    <t xml:space="preserve">Vandenviečių pastatų atnaujinimas </t>
  </si>
  <si>
    <t xml:space="preserve">Šturmanų gatvės (tarp Naikupės - Kalnupės) vandentiekio ir buitinių nuotekų tinklų statyba </t>
  </si>
  <si>
    <t>Savanorių g. V ir FK statyba</t>
  </si>
  <si>
    <t>Vandentiekio ir nuotekų tinklų plėtra Klaipėdoje (Arimų g. iki Šaulių k.)</t>
  </si>
  <si>
    <r>
      <t>Tranzitinių vandentiekio tinklų decentralizacija</t>
    </r>
    <r>
      <rPr>
        <sz val="8"/>
        <color indexed="10"/>
        <rFont val="Times New Roman"/>
        <family val="1"/>
      </rPr>
      <t xml:space="preserve"> (Gedminų g. 10)</t>
    </r>
  </si>
  <si>
    <t>Vandentiekio skirstom. t. Debreceno, Baltijos statyba</t>
  </si>
  <si>
    <t>4.2.8</t>
  </si>
  <si>
    <t>V ir FK prijungimas prie Tilžės 111A (apie 900m, buvęs Sudmantų k.)</t>
  </si>
  <si>
    <t>4.2.9</t>
  </si>
  <si>
    <t>Pastatų prijungimas prie miesto V ir FK tinklų, panaikinant šulinius</t>
  </si>
  <si>
    <t>4.2.10.</t>
  </si>
  <si>
    <t>Vandentiekio ir nuotekų tinklų plėtra Klaipėdoje:</t>
  </si>
  <si>
    <t>Klaipėdos g. 8a, 8b, 8c V ir KF statyba (V-100m, KF-100m)</t>
  </si>
  <si>
    <t>Debreceno g. (bažnyčia)vandentiekio ir nuotekų tinklų statyba (V-DN110mm, 400m; KF-DN160mm, 115m)</t>
  </si>
  <si>
    <t>Perkūno g. vandentiekio ir nuotekų tinklų statyba (V-1km, KF-0,5km, NS)</t>
  </si>
  <si>
    <t xml:space="preserve">Ringelio al. Žaliajame slėnyje vandentiekio tinklų statyba L-300m </t>
  </si>
  <si>
    <t>Molo g. 12 (daugiabutis), 14a, 16, 18a  nuotekų tinklų statyba, L-120m</t>
  </si>
  <si>
    <t>Kretingos g. 4 nuotekų tinklų statyba, L-90m</t>
  </si>
  <si>
    <t>Baltikalnio g. 5,7 ,8 naujos buitinių nuotekų linijos pastatymas ir atjungimas nuo lietaus nuotekų tinklų</t>
  </si>
  <si>
    <t>4.2.11</t>
  </si>
  <si>
    <t>Projekto „Vandentiekio ir nuotekų tinklų plėtra Klaipėdos rajone (Jakuose, Sudmantuose, Doviluose, Purmaliuose, Kalotėje, Ginduliuose, Klaipėdoje)“ įgyvendinimo techninė priežiūra.</t>
  </si>
  <si>
    <t>reikia derinti su A.Jonaitiene</t>
  </si>
  <si>
    <t>4.2.12</t>
  </si>
  <si>
    <t>Projekto „Vandentiekio ir nuotekų tinklų plėtra Klaipėdos rajone (Jakuose, Sudmantuose, Doviluose, Purmaliuose, Kalotėje, Ginduliuose, Klaipėdoje)“ techninių projektų vykdymo priežiūra</t>
  </si>
  <si>
    <t>4.2.13</t>
  </si>
  <si>
    <t>Paupio kv. gyv. namų  įvadų ir išvadų statyba iki skypų ribų</t>
  </si>
  <si>
    <t>4.2.14</t>
  </si>
  <si>
    <t>Žūklės g. 22 (17, 21, 25), Marių g. 15 (9, 11) įvadų ir išvadų statyba iki skypų ribų, L- 80m</t>
  </si>
  <si>
    <t>4.2.15</t>
  </si>
  <si>
    <t>Turgaus g. vandentiekio sužiedinimas prie liuteronų bažn. L-160m</t>
  </si>
  <si>
    <t>4.2.16</t>
  </si>
  <si>
    <t>Vandentiekio ir nuotekų tinklų plėtra Klaipėdos rajone atskirų vartortojų prijungimui</t>
  </si>
  <si>
    <t>4.3.1.</t>
  </si>
  <si>
    <t>Vandentiekio ir nuotekų tinklų įsigijimas Klaipėda</t>
  </si>
  <si>
    <t>Darbo vietų dispečerinėje atskyrimas triukšmą slopinančiomis pertvaromis</t>
  </si>
  <si>
    <t>IT programų funkcionalumo plėtra  dispečerinėje</t>
  </si>
  <si>
    <t>Vandentiekio  tinklų atstatymas Klaipėdoje:</t>
  </si>
  <si>
    <t>4.4.1.1.</t>
  </si>
  <si>
    <t>Sklendžių ir hidrantų atnaujinimas vandentiekio tinkluose</t>
  </si>
  <si>
    <t>4.4.1.2.</t>
  </si>
  <si>
    <t>Prietaisai ir įranga darbų saugos bei aptarnavimo užtikrinimui</t>
  </si>
  <si>
    <t>4.4.1.3.</t>
  </si>
  <si>
    <t>Vandentiekio kameros Nr.163(PL116-D-5) rekonstrukcija</t>
  </si>
  <si>
    <t>4.4.1.4.</t>
  </si>
  <si>
    <t>Vandentiekio tinklų atstatymas</t>
  </si>
  <si>
    <t>4.4.2.</t>
  </si>
  <si>
    <t>Nuotekų tinklų atstatymas Klaipėdoje:</t>
  </si>
  <si>
    <t>4.4.2.1.</t>
  </si>
  <si>
    <t>Šturmanų gt. kvartalo tinklo ties Nr.7 rekonstrukcija</t>
  </si>
  <si>
    <t>4.4.2.2.</t>
  </si>
  <si>
    <t>Prietaisai ir įranga nuotekų tinklų darbų saugos bei aptarnavimo užtikrinimui (I -perforatorius 700, II- siurblys 4000, pniaumatinis plaktukas 6000, rankinis diskinis pjūklas 500; III -dujų analizatorius 3000, pūslės 2000; IV-dujokaukė panoraminė su priedais 3000)</t>
  </si>
  <si>
    <t>4.4.2.3.</t>
  </si>
  <si>
    <t>Nuotekų tinklų atstatymas Klaipėdoje (2012 -0,8 km, 2013-1,7 km)</t>
  </si>
  <si>
    <t>4.4.2.4.</t>
  </si>
  <si>
    <t>Taikos pr. gyv. namų Nr.18 ir Nr. 20 naujos buitinių nuotekų linijos pastatymas ir atjungimas nuo lietaus nuotekų tinklų.</t>
  </si>
  <si>
    <t>4.4.3.</t>
  </si>
  <si>
    <t>Gargždų vandentvarkos ūkis</t>
  </si>
  <si>
    <t>4.4.3.1.</t>
  </si>
  <si>
    <t xml:space="preserve">Vandentiekio įvadų rekonstrukcija  </t>
  </si>
  <si>
    <t>4.4.3.2.</t>
  </si>
  <si>
    <t>4.4.3.3.</t>
  </si>
  <si>
    <t>Prietaisai ir įranga vandentiekio tinklų darbų saugos bei aptarnavimo užtikrinimui</t>
  </si>
  <si>
    <t>4.4.3.5.</t>
  </si>
  <si>
    <t>Įvadinių skaitiklių įsigijimas</t>
  </si>
  <si>
    <t>4.4.3.6.</t>
  </si>
  <si>
    <t>Siurbliai vandenvietės gręžiniams</t>
  </si>
  <si>
    <t>4.4.3.7.</t>
  </si>
  <si>
    <t>Laugalių vandenvietės gręžinių pergręžimas</t>
  </si>
  <si>
    <t>4.4.3.8.</t>
  </si>
  <si>
    <t>Pušyno tako V ir KF statyba (apie 300 m)</t>
  </si>
  <si>
    <t>4.4.3.9.</t>
  </si>
  <si>
    <t>Dvarelio tako V statyba (apie 300 m)</t>
  </si>
  <si>
    <t>4.4.3.11.</t>
  </si>
  <si>
    <t>Slėgio kėlimo stoties įrengimas ir bokšto rezervuaro remontas</t>
  </si>
  <si>
    <t>4.4.3.12.</t>
  </si>
  <si>
    <t>Vandentiekio ir nuotekų tinklų plėtra</t>
  </si>
  <si>
    <t>4.4.3.13.</t>
  </si>
  <si>
    <t>Vandentiekio ir nuotekų tinklų remontas ir rekonstrukcija:</t>
  </si>
  <si>
    <t>Butkų Juzės g. KF rek.</t>
  </si>
  <si>
    <t>4.4.3.14</t>
  </si>
  <si>
    <t>Siurblių kap. remontas (NS-01 10 vnt., NS-02 2 vnt.)</t>
  </si>
  <si>
    <t>4.4.3.15</t>
  </si>
  <si>
    <t>NS 1 pastato kapitalinis remontas</t>
  </si>
  <si>
    <t>4.4.4.16</t>
  </si>
  <si>
    <t>NS 2 pastato kapitalinis remontas</t>
  </si>
  <si>
    <t>4.4.3.17</t>
  </si>
  <si>
    <t>Vandentiekio bokšto remontas</t>
  </si>
  <si>
    <t>4.4.4.</t>
  </si>
  <si>
    <t>Priekulės vandentvarkos ūkis</t>
  </si>
  <si>
    <t>4.4.4.1.</t>
  </si>
  <si>
    <t xml:space="preserve">Vand.ir nuot. tinklų plėtra: </t>
  </si>
  <si>
    <t>Pleškučių k. KF -550m</t>
  </si>
  <si>
    <t>Turgaus g. 34,36  KF-85m</t>
  </si>
  <si>
    <t>Dvaro g. KF-55 m.</t>
  </si>
  <si>
    <t>4.4.4.2.</t>
  </si>
  <si>
    <t>Vandentiekio ir nuotekų tinklų rekonstrukcija</t>
  </si>
  <si>
    <t>Nuotekų valykla</t>
  </si>
  <si>
    <t>Klaipėdos dumblo apdorojimo įrenginių statyba (įmonės lėšos)</t>
  </si>
  <si>
    <t>Nuotekų dumblo utilizavimo technologijų įvertinimas ir ekonomiškiausios technologijos parinkimas</t>
  </si>
  <si>
    <t>Nuotekų siurblinių tarnyba</t>
  </si>
  <si>
    <t>NS Nr.6 smulkinamųjų grotų įrengimas</t>
  </si>
  <si>
    <t>NS Nr.14 teritorijos aptvėrimas</t>
  </si>
  <si>
    <t>NS Nr.44 privažiavimo įrengimas</t>
  </si>
  <si>
    <t>NS Karklėje aptarnavimo aikštelių įrengimas</t>
  </si>
  <si>
    <t>NS Nr.6 elektrifikuoto uždorio D1500 įrengimas</t>
  </si>
  <si>
    <t>4.3.7</t>
  </si>
  <si>
    <t>Nuotekų tyrimo laboratorija</t>
  </si>
  <si>
    <t>4.3.8</t>
  </si>
  <si>
    <t>Mėginių koncentravimo blokas</t>
  </si>
  <si>
    <t>4.3.9</t>
  </si>
  <si>
    <t>Laboratorinė purtyklė</t>
  </si>
  <si>
    <t>4.3.10</t>
  </si>
  <si>
    <t>Džiovinimo spinta su ventiliatoriumi</t>
  </si>
  <si>
    <t>4.3.11</t>
  </si>
  <si>
    <t>Skysčių chromotografas</t>
  </si>
  <si>
    <t>4.3.12</t>
  </si>
  <si>
    <t>Organinės anglies nustatymo prietaisas</t>
  </si>
  <si>
    <t>Nuotekų siurblinių atnaujinimas bei remontas</t>
  </si>
  <si>
    <t>NS Nr.2 hidraulės sklendės  ir kitos armatūros keitimas</t>
  </si>
  <si>
    <t>NS Nr.6 technologines ir elektrinės  dalies rekonstrukcija</t>
  </si>
  <si>
    <t>NS Nr.6 nuotekų siurblių Nr.4 ir Nr.7 našumų atstatymas</t>
  </si>
  <si>
    <t>NS Nr.14 hidraulės sklendės keitimas</t>
  </si>
  <si>
    <t>Siurblių pirkimas nuotekų siurblinėse</t>
  </si>
  <si>
    <t>4.4.7</t>
  </si>
  <si>
    <t>Sklendžių ir kitos armatūros pirkimas</t>
  </si>
  <si>
    <t>4.4.8</t>
  </si>
  <si>
    <t>Smulkios įrangos pirkimas</t>
  </si>
  <si>
    <t>4.4.9</t>
  </si>
  <si>
    <t>NS kėlimo įrangos pirkimas</t>
  </si>
  <si>
    <t>4.4.10.</t>
  </si>
  <si>
    <t>Įrengimų įsigijimas (sklendžių,  atbulinių vožtuvų,  uždorių )</t>
  </si>
  <si>
    <t>4.4.11.</t>
  </si>
  <si>
    <t>Šaldytuvų (mėginių paėmėjams) įsigijimas</t>
  </si>
  <si>
    <t>4.4.12.</t>
  </si>
  <si>
    <t>Automatinių grotų atstatymas</t>
  </si>
  <si>
    <t>4.4.13.</t>
  </si>
  <si>
    <t>4.4.14.</t>
  </si>
  <si>
    <t>Mėginių paimtuvų įsigijimas</t>
  </si>
  <si>
    <t>4.4.15.</t>
  </si>
  <si>
    <t>Maišyklių įsigijimas</t>
  </si>
  <si>
    <t>4.4.16.</t>
  </si>
  <si>
    <t>Siurblių fekalijoms įsigijimas</t>
  </si>
  <si>
    <t>4.4.17.</t>
  </si>
  <si>
    <t>4.4.18.</t>
  </si>
  <si>
    <t>Antrinio sėsdintuvo Nr. K-3 remontas</t>
  </si>
  <si>
    <t>4.4.19.</t>
  </si>
  <si>
    <t>Grotų ir smėlio sėsdinimo (A), dumblo nusausinimo (P) ir dumblo apdirbimo siurblinės (N) pastatų durų(vartų) remontas</t>
  </si>
  <si>
    <t>4.4.20.</t>
  </si>
  <si>
    <t>Siurblių dumblui įsigijimas</t>
  </si>
  <si>
    <t>4.4.21.</t>
  </si>
  <si>
    <t>Smulkios įrangos įsigijimas (reduktorių ir panašios įrangos)</t>
  </si>
  <si>
    <t>4.4.22</t>
  </si>
  <si>
    <t>Reagentų dozatoriai  5 vnt.</t>
  </si>
  <si>
    <t>4.4.23</t>
  </si>
  <si>
    <t>Kolomėlė dujiniam chromotografui</t>
  </si>
  <si>
    <t>4.4.24</t>
  </si>
  <si>
    <t>Kjeldalio azoto nustatymo aparatas</t>
  </si>
  <si>
    <t>4.4.25</t>
  </si>
  <si>
    <t xml:space="preserve">Laboratorinės svarstyklės </t>
  </si>
  <si>
    <t>4.4.26</t>
  </si>
  <si>
    <t>Automatinis mėginių paėmėją dujiniam chromotografui</t>
  </si>
  <si>
    <t>4.4.27</t>
  </si>
  <si>
    <t>4.4.28</t>
  </si>
  <si>
    <t>Laboratorinis šaldytuvas</t>
  </si>
  <si>
    <t>4.4.29</t>
  </si>
  <si>
    <t>Automatinis mėginių semtuvas</t>
  </si>
  <si>
    <t>4.4.30</t>
  </si>
  <si>
    <t>Rotorius su kvarciniais indais</t>
  </si>
  <si>
    <t>4.4.31</t>
  </si>
  <si>
    <t>Dujinis chromotografas</t>
  </si>
  <si>
    <t>4.4.32</t>
  </si>
  <si>
    <t>Soksleto aparatas</t>
  </si>
  <si>
    <t>Ūkio aptarnavimo departamentas</t>
  </si>
  <si>
    <t>ITVS</t>
  </si>
  <si>
    <t>Kompiuterinė technika ir programų licenzijos /planinis  kompiuterių 1/6 atnaujinimas /; programinė ir spausdinimo įranga</t>
  </si>
  <si>
    <t>Ryšio aparatai ir įranga</t>
  </si>
  <si>
    <t>Finansinių, gamybinių, pardavimų apskaitos programų diegimas ir vystymas</t>
  </si>
  <si>
    <t>Techninio aptarnavimo sistemos vystymas</t>
  </si>
  <si>
    <t>Vandens tiekimo automatikos įrangos planinis atnaujinimas</t>
  </si>
  <si>
    <t>Vienos dispečerinės projektas</t>
  </si>
  <si>
    <t>Fizinės ir informacinės saugos priemonių atnaujinimas</t>
  </si>
  <si>
    <t>SCADA vystymas</t>
  </si>
  <si>
    <t>Objektų valdymo automatizavimas</t>
  </si>
  <si>
    <t>Metrologinių prietaisų atnaujinimas</t>
  </si>
  <si>
    <t>Transporto - mechaninė  tarnyba</t>
  </si>
  <si>
    <t>Automombilių planinis atnaujinimas</t>
  </si>
  <si>
    <t>Traktorių atnaujinimas</t>
  </si>
  <si>
    <t>Eskavatoriaus atnaujinimas</t>
  </si>
  <si>
    <t>Kondicionavimo sistemų planinis atnaujinimas</t>
  </si>
  <si>
    <t>Įrengimų ir įrankių atnaujinimas</t>
  </si>
  <si>
    <t>Mechaninių dirbtuvių ir administracinio pastato remontas</t>
  </si>
  <si>
    <t>Stelažų įrengimas apskaitos prietaisų skyriaus sandėlije</t>
  </si>
  <si>
    <t>Ūkio grupė</t>
  </si>
  <si>
    <t>Baldų planinis atnaujinimas</t>
  </si>
  <si>
    <t>Buitinė technikos atnaujinimas</t>
  </si>
  <si>
    <t>Įrankių ir įrangos atnaujinimas</t>
  </si>
  <si>
    <t>Gamybinio pastato remontas  -(29 vnt  langai, 2  vartai, fasado dažymas, garažo remontas)</t>
  </si>
  <si>
    <t>Stalių dirbtuvių   pastato nugriovimas</t>
  </si>
  <si>
    <t>Energetinė tarnyba</t>
  </si>
  <si>
    <t>Elektros paskirstymo įrangos planinis atnaujinimas</t>
  </si>
  <si>
    <t xml:space="preserve">Įrankių ir kilnojamos įrangos atnaujinimas </t>
  </si>
  <si>
    <t>Gamybinio pastato elektros cecho darbo vietų atnaujinimas</t>
  </si>
  <si>
    <t>Elektros energijos monitoringo ir ekonomijos sistema</t>
  </si>
  <si>
    <t>Ivadiniai vandens skaitikliai (daugiasraučiai ir kombinuoti)</t>
  </si>
  <si>
    <t>Vandens apskaitos mazgo šulinėliai</t>
  </si>
  <si>
    <t>Elektromagnetiniai debitmačiai (vandens ir nuotekų apskaitai)</t>
  </si>
  <si>
    <t>Įrankių atnaujinimas (įrankiai, fotoaparatai, kampiniai šlifuokliai, perforatoriai)</t>
  </si>
  <si>
    <t>Šaldytuvas</t>
  </si>
  <si>
    <t>Nešiojami siurbliai (vandens atsiurbimui iš šulinių)</t>
  </si>
  <si>
    <t>Geriamojo vandens laboratorinė įranga</t>
  </si>
  <si>
    <t xml:space="preserve">Vandenviečių bokštų ir gręžinių atnaujinimas </t>
  </si>
  <si>
    <t>Karklės vandenvietės vandens ruošykla</t>
  </si>
  <si>
    <t>Tinklų departamentas</t>
  </si>
  <si>
    <t>Tinklų departamentas(miestas)</t>
  </si>
  <si>
    <t>Tinklų departamentas(rajonas)</t>
  </si>
  <si>
    <t>Įvadų ir išvadų statyba iki sklypo ribų</t>
  </si>
  <si>
    <t>Centrinės dispečerinės darbo vietų tobulinimas</t>
  </si>
  <si>
    <t>Vandentiekio tinkų atstatymas</t>
  </si>
  <si>
    <t>Nuotekų tinklų atstatymas</t>
  </si>
  <si>
    <t>Smulkios įrangos atnaujinimas vandentiekio tinkluose</t>
  </si>
  <si>
    <t>Smulkios įrangos atnaujinimas nuotekų tinkluose</t>
  </si>
  <si>
    <t>Smulkios įrangos atnaujinimas Gargžduose</t>
  </si>
  <si>
    <t>Vandentiekio ir nuotekų tinklų plėtra Gargžduose</t>
  </si>
  <si>
    <t>Vandentiekio ir nuotekų tinklų plėtra Priekulėje</t>
  </si>
  <si>
    <t>Sklendžių ir hidrantų atnaujinimas vandentiekio tinkluose Gargžduose(įskaitant siurblius)</t>
  </si>
  <si>
    <t>Vandentiekio ir nuotekų tinkų atstatymas Gargžduose</t>
  </si>
  <si>
    <t>Nuotekų siurblinių remontas Gargžduose</t>
  </si>
  <si>
    <t>Vandentiekio ir nuotekų tinkų atstatymas Priekulėje</t>
  </si>
  <si>
    <t>Vandentiekio ir nuotekų tinklų įsigijimas</t>
  </si>
  <si>
    <t>Nuotekų departamentas</t>
  </si>
  <si>
    <t>Nuotekų departamentas(miestas)</t>
  </si>
  <si>
    <t>Nuotekų departamentas(rajonas)</t>
  </si>
  <si>
    <t xml:space="preserve">Naujų nuotekų siurblinių įsigijimas </t>
  </si>
  <si>
    <t>Įrengimai nuotekų siurblinėms</t>
  </si>
  <si>
    <t>Paskirstymo kamerų uždorių automatizavimas nuotekų valykloje</t>
  </si>
  <si>
    <t>Nuotekų siurblinių statinių atnaujinimas</t>
  </si>
  <si>
    <t>Sklendžių ir uždaromosios armatūros atnaujinimas nuotekų siurblinėse</t>
  </si>
  <si>
    <t>Siurblių atnaujinimas nuotekų siurblinėse</t>
  </si>
  <si>
    <t>Smulkios įrangos atnaujinimas nuotekų siurblinėse</t>
  </si>
  <si>
    <t>Įrangos pakeitimas nuotekų valykloje (sklendės, atbuliniai vožtuvai, uždoriai, mėginių imtuvai ir kt.)</t>
  </si>
  <si>
    <t>Siurblių fekalijoms pakeitimas nuotekų valykloje</t>
  </si>
  <si>
    <t>Siurblių dumblui pakeitimas nuotekų valykloje</t>
  </si>
  <si>
    <t>Nuotekų laboratorijos prietaisų atnaujinimas</t>
  </si>
  <si>
    <t>Nuotekų valyklos pastatų atnaujinimas</t>
  </si>
  <si>
    <t>Prietaisai nuotekų tyrimo laboratorijai</t>
  </si>
  <si>
    <t>Nuotekų tvarkymo automatikos įrangos planinis atnaujinimas</t>
  </si>
  <si>
    <t>Planinis kompiuterinės technikos atnaujinimas</t>
  </si>
  <si>
    <t>Pastatų remontas</t>
  </si>
  <si>
    <t>Įvadiniai vandens skaitikliai</t>
  </si>
  <si>
    <t>Butiniai vandens skaitikliai</t>
  </si>
  <si>
    <t>Skaitiklių ūkio įrankių ir įrangos atnaujinimas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</si>
  <si>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</si>
  <si>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</si>
  <si>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</si>
  <si>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</si>
  <si>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</si>
  <si>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</si>
  <si>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</si>
  <si>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</si>
  <si>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4.2.2.9</t>
  </si>
  <si>
    <t>4.2.2.10</t>
  </si>
  <si>
    <t>4.2.3.1</t>
  </si>
  <si>
    <t>4.2.3.2</t>
  </si>
  <si>
    <t>4.2.3.3</t>
  </si>
  <si>
    <t>4.2.3.4</t>
  </si>
  <si>
    <t>4.2.3.5</t>
  </si>
  <si>
    <t>4.2.3.6</t>
  </si>
  <si>
    <t>4.2.3.7</t>
  </si>
  <si>
    <t>4.2.3.8</t>
  </si>
  <si>
    <t>4.2.3.9</t>
  </si>
  <si>
    <t>4.2.3.10</t>
  </si>
  <si>
    <t>4.2.3.11</t>
  </si>
  <si>
    <t>4.2.3.12</t>
  </si>
  <si>
    <t>4.2.3.13</t>
  </si>
  <si>
    <t>4.2.3.14</t>
  </si>
  <si>
    <t>4.2.3.15</t>
  </si>
  <si>
    <t>4.2.3.16</t>
  </si>
  <si>
    <t>4.2.3.17</t>
  </si>
  <si>
    <t>4.2.3.18</t>
  </si>
  <si>
    <t>4.2.3.19</t>
  </si>
  <si>
    <t>4.2.3.20</t>
  </si>
  <si>
    <t>4.2.3.21</t>
  </si>
  <si>
    <t>4.2.3.22</t>
  </si>
  <si>
    <t>4.2.3.23</t>
  </si>
  <si>
    <t>4.2.3.24</t>
  </si>
  <si>
    <t>4.2.3.25</t>
  </si>
  <si>
    <t>4.2.3.26</t>
  </si>
  <si>
    <t>4.2.3.27</t>
  </si>
  <si>
    <t>4.2.3.28</t>
  </si>
  <si>
    <t>4.2.3.29</t>
  </si>
  <si>
    <t>4.2.3.30</t>
  </si>
  <si>
    <t>4.2.3.31</t>
  </si>
  <si>
    <t>4.2.3.32</t>
  </si>
  <si>
    <t>4.2.3.33</t>
  </si>
  <si>
    <t>4.2.3.34</t>
  </si>
  <si>
    <t>4.2.3.35</t>
  </si>
  <si>
    <t>4.2.3.36</t>
  </si>
  <si>
    <t>4.2.3.37</t>
  </si>
  <si>
    <t>4.2.3.38</t>
  </si>
  <si>
    <t>4.2.3.39</t>
  </si>
  <si>
    <t>4.2.3.40</t>
  </si>
  <si>
    <t>4.2.3.41</t>
  </si>
  <si>
    <t>4.2.3.42</t>
  </si>
  <si>
    <t>4.2.3.43</t>
  </si>
  <si>
    <t>4.2.3.44</t>
  </si>
  <si>
    <t>4.2.3.45</t>
  </si>
  <si>
    <t>4.2.3.46</t>
  </si>
  <si>
    <t>4.2.3.47</t>
  </si>
  <si>
    <t>4.2.3.48</t>
  </si>
  <si>
    <t>4.3.2.1</t>
  </si>
  <si>
    <t>4.3.2.2</t>
  </si>
  <si>
    <t>4.3.2.3</t>
  </si>
  <si>
    <t>4.3.2.4</t>
  </si>
  <si>
    <t>4.3.3.1</t>
  </si>
  <si>
    <t>4.3.3.2</t>
  </si>
  <si>
    <t>4.3.3.3</t>
  </si>
  <si>
    <t>4.3.3.4</t>
  </si>
  <si>
    <t>4.3.3.5</t>
  </si>
  <si>
    <t>4.3.3.6</t>
  </si>
  <si>
    <t>4.3.3.7</t>
  </si>
  <si>
    <t>4.3.3.8</t>
  </si>
  <si>
    <t>4.3.2.5</t>
  </si>
  <si>
    <t>4.4.22.</t>
  </si>
  <si>
    <t>Mažų nuotekų valyklų įrengimas Klaipėdos rajone</t>
  </si>
  <si>
    <t>Nuotekų siurblinių remontas</t>
  </si>
  <si>
    <t>Geriamojo vandens  2-o kėlimo pasiurbimo linijų keitimas</t>
  </si>
  <si>
    <t>4.3.2.6</t>
  </si>
  <si>
    <t>Filtrų pastato paprastasis remontas pakeičiant technologinę įrangą</t>
  </si>
  <si>
    <t>Antrinio koagulianto dozavimo siurbliai, 2 vnt.</t>
  </si>
  <si>
    <t>Pirminio koagulianto dozavimo siurbliai</t>
  </si>
  <si>
    <t>ES dotacijos</t>
  </si>
  <si>
    <t>Savivaldybės dotacijos</t>
  </si>
  <si>
    <t>Paskola</t>
  </si>
  <si>
    <t>2.1.</t>
  </si>
  <si>
    <t>Lėšų poreikis pagal šaltinius</t>
  </si>
  <si>
    <t>2.1.1</t>
  </si>
  <si>
    <t>2.1.2</t>
  </si>
  <si>
    <t>2.1.3</t>
  </si>
  <si>
    <t>2.1.4</t>
  </si>
  <si>
    <t>2.2</t>
  </si>
  <si>
    <t>2.2.1</t>
  </si>
  <si>
    <t>Vandens tiekimo ir nuotekų tvarkymo infrastruktūros plėtra Klaipėdoje</t>
  </si>
  <si>
    <t>2.2.1.1</t>
  </si>
  <si>
    <t>2.2.1.2</t>
  </si>
  <si>
    <t>2.2.1.3</t>
  </si>
  <si>
    <t xml:space="preserve">Smeltės gyvenamojo kvartalo vandentiekio ir ūkio nuotekų tinklų rekonstrukcija </t>
  </si>
  <si>
    <t>2.2.1.4</t>
  </si>
  <si>
    <t>2.2.1.5</t>
  </si>
  <si>
    <t>2.2.1.6</t>
  </si>
  <si>
    <t>Trinyčių kvartalo vandentiekio ir nuotekų tinklų rekonstrukcija</t>
  </si>
  <si>
    <t>2.2.1.7</t>
  </si>
  <si>
    <t>Pirmosios vandenvietės vandens ruošykla Liepų g. 49, Klaipėdoje</t>
  </si>
  <si>
    <t>4.2.1.8</t>
  </si>
  <si>
    <t>Paslaugos</t>
  </si>
  <si>
    <t>2.2.2.</t>
  </si>
  <si>
    <t>Vandentiekio ir nuotekų tinklų plėtra Klaipėdos rajone</t>
  </si>
  <si>
    <t>2.2.2.1</t>
  </si>
  <si>
    <t>2.2.2.2</t>
  </si>
  <si>
    <t>2.2.2.3</t>
  </si>
  <si>
    <t>2.2.2.4</t>
  </si>
  <si>
    <t>2.2.3.</t>
  </si>
  <si>
    <t>Klaipėdos dumblo apdorojimo įrenginių statyba</t>
  </si>
  <si>
    <t>1.6</t>
  </si>
  <si>
    <t>1.7</t>
  </si>
  <si>
    <t>1.8</t>
  </si>
  <si>
    <t>Vandentiekio ir nuotekų tinklų statyba s/b "Neringa", Klaipėdoje</t>
  </si>
  <si>
    <t>Vandentiekio tinklų Žemaičių g. Klaipėdoje statyba</t>
  </si>
  <si>
    <t>Vandentiekio tinklų tiesimas į Naikupės g.27 A (L-250 m)</t>
  </si>
  <si>
    <t>4.2.17</t>
  </si>
  <si>
    <t>4.2.18</t>
  </si>
  <si>
    <t>4.2.19</t>
  </si>
  <si>
    <t>Grotų ir smėlio sėsdinimo (A), transfomatorinių pastatų (Y1 ir Y2) remontas</t>
  </si>
  <si>
    <t>2.2.4.</t>
  </si>
  <si>
    <t>Geriamojo vandens ruošimo įrenginių Girkalių gyvenvietės vandenvietėje (Klaipėdos rajonas) statyba</t>
  </si>
  <si>
    <t>Aerotankų aeracinės sistemos rekonstrukcija</t>
  </si>
  <si>
    <t>Projektai</t>
  </si>
  <si>
    <t>Paskolos poreikis ir iš paskolos finansuojami projektai</t>
  </si>
  <si>
    <t>Klaipėdos raj. objektų valdymo automatizavimas</t>
  </si>
  <si>
    <t>Dalinai ES finansuojamų projektų AB "Klaipėdos vanduo" dalis</t>
  </si>
  <si>
    <t>IŠ VISO PASKOLA</t>
  </si>
  <si>
    <t>Paskolos grąžinimas</t>
  </si>
  <si>
    <t>Trūkstamos lėšos</t>
  </si>
  <si>
    <t>Vandens tiekimo ir nuotekų tvarkymo infrastruktūros renovavimas ir plėtra Klaipėdos rajone</t>
  </si>
  <si>
    <t xml:space="preserve">Veikla Nr. 1.1.1. Vandentiekio ir nuotekų tinklų plėtra Kretingalėje ir Vėžaičiuose </t>
  </si>
  <si>
    <t>ES ir valstybės dotacijos</t>
  </si>
  <si>
    <t>Veikla Nr. 1.1.2. Kretingalės gyvenvietės geriamojo vandens valymo įrenginių statyba</t>
  </si>
  <si>
    <t>Veikla Nr. 1.1.3. Vėžaičių nuotekų valymo įrenginių rekonstrukcija</t>
  </si>
  <si>
    <t xml:space="preserve"> Techninės, projekto vykdymo priežiūros ir panašios paslaugos</t>
  </si>
  <si>
    <t>Projekto administravimo paslaugos</t>
  </si>
  <si>
    <t>Vandens tiekimo ir nuotekų tvarkymo infrastruktūros renovavimas ir plėtra Klaipėdos rajone (Endriejave)</t>
  </si>
  <si>
    <t>Vandentiekio ir nuotekų tinklų plėtra Endriejave</t>
  </si>
  <si>
    <t>Projekto priežiūros ir administravimo paslaugos</t>
  </si>
  <si>
    <t>Endriejavo nuotekų valymo įrenginių statyba</t>
  </si>
  <si>
    <t>Vandens gerinimo įrenginių statyba Endriejave, Agluonėnuose</t>
  </si>
  <si>
    <t>4.3.1.7</t>
  </si>
  <si>
    <t>4.3.1.8</t>
  </si>
  <si>
    <t>4.3.1.9</t>
  </si>
  <si>
    <t>4.3.1.10</t>
  </si>
  <si>
    <t>4.3.1.11</t>
  </si>
  <si>
    <t>Visa vertė</t>
  </si>
  <si>
    <t>Klaipėdos miesto savivaldybės</t>
  </si>
  <si>
    <t>___________________________________</t>
  </si>
  <si>
    <t>___________________</t>
  </si>
  <si>
    <t>_________________________________</t>
  </si>
  <si>
    <t xml:space="preserve">                     (pareigų pavadinimas)                                   </t>
  </si>
  <si>
    <t xml:space="preserve">     (parašas)      </t>
  </si>
  <si>
    <t xml:space="preserve">         (vardas ir pavardė)</t>
  </si>
  <si>
    <t>SUDERINTA</t>
  </si>
  <si>
    <t>Įsigytas (atkurtas) ilgalaikis</t>
  </si>
  <si>
    <t>Ilgalaikio turto nusidėvėjimo atkūrimo lėšos</t>
  </si>
  <si>
    <t>Ilgalaikio turto atkūrimui</t>
  </si>
  <si>
    <t>AB „KLAIPĖDOS VANDUO“ ĮMONIŲ GRUPĖS 2012–2016 M.  VEIKLOS IR PLĖTROS PLANAS</t>
  </si>
  <si>
    <t>LR valstybės biudžetas</t>
  </si>
  <si>
    <t>AB „Klaipėdos vanduo“ lėšos</t>
  </si>
  <si>
    <t>Magistraliniai vandens tiekimo ir nuotekų šalinimo tinklai perspektyvinėje miesto plėtros teritorijoje į šiaurę nuo Vilniaus plento Klaipėdoje – II etapas – Kretingos g. (prie sodų bendrijos) ir kolektyvinių sodų prie Danės upės iki Panevėžio gatvės vandentiekio ir ūkio nuotekų šalinimo tinklai ir NS Nr. 40 – III dalis</t>
  </si>
  <si>
    <t>AB „Klaipėdos vanduo“ Investiciniai projektai ir jų finansavimo šaltiniai 2012–2016 m.</t>
  </si>
  <si>
    <t>Netinkamos išlaidos (savivaldybės lėšos)</t>
  </si>
  <si>
    <t>Netinkamos išlaidos (AB „Klaipėdos vanduo“ lėšos)</t>
  </si>
  <si>
    <t>Tauralaukio gyvenvietės šiaurės-rytų rajono vandentiekio ir ūkio nuotekų šalinimo tinklų statyba, II etapas</t>
  </si>
  <si>
    <t xml:space="preserve">Paupio gyvenvietės vandentiekio ir nuotekų tinklų tiesimas ir magistraliniai vandens tiekimo ir nuotekų šalinimo tinklai perspektyvinėje miesto plėtros teritorijoje į šiaurę nuo Vilniaus  plento Klaipėdoje, III etapas </t>
  </si>
  <si>
    <t xml:space="preserve">Vandentiekio ir ūkio nuotekų tinklų tiesimas iki Klaipėdos administracinės miesto ribos prijungti prie miesto tinklų gyvenamųjų namų kompleksą „Žaliasis slėnis“ ir dalį namų sodininkų bendrijoje „Tauras“ Klaipėdoje </t>
  </si>
  <si>
    <t>I dalis –  vandentiekio ir nuotekų tinklų plėtra Jakuose ir Sudmantuose</t>
  </si>
  <si>
    <t>II dalis –  vandentiekio ir nuotekų tinklų plėtra Ginduliuose, Doviluose ir Gargžduose</t>
  </si>
  <si>
    <t>III dalis (rajono) –  vandentiekio ir nuotekų tinklų plėtra Purmaliuose ir Kalotėje</t>
  </si>
  <si>
    <t>III dalis (miesto) –  vandentiekio ir nuotekų tinklų plėtra Klaipėdoje (Antrojoje Melnragėje, Obelų, Bičiulių, Dienovidžio, Užlaukio, Medelyno g.)</t>
  </si>
  <si>
    <t>UAB „Klaipėdos rajono vandenys“ investiciniai projektai ir jų finansavimo šaltiniai 2012–2016 m.</t>
  </si>
  <si>
    <t>UAB „Klaipėdos rajono vandenys“ lėšos</t>
  </si>
  <si>
    <t>2012–2016</t>
  </si>
  <si>
    <t>Iš viso 2012–2016</t>
  </si>
  <si>
    <t>tarybos 2012 m. liepos 26 d.</t>
  </si>
  <si>
    <t>sprendimu Nr. T2-198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</si>
</sst>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#,##0\ _L_t"/>
    <numFmt numFmtId="167" formatCode="&quot;Taip&quot;;&quot;Taip&quot;;&quot;Ne&quot;"/>
    <numFmt numFmtId="168" formatCode="&quot;Teisinga&quot;;&quot;Teisinga&quot;;&quot;Klaidinga&quot;"/>
    <numFmt numFmtId="169" formatCode="[$€-2]\ ###,000_);[Red]\([$€-2]\ ###,000\)"/>
    <numFmt numFmtId="170" formatCode="#,##0.00\ &quot;Lt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4" fillId="12" borderId="4" applyNumberFormat="0" applyAlignment="0" applyProtection="0"/>
    <xf numFmtId="0" fontId="46" fillId="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1" fillId="4" borderId="6" applyNumberFormat="0" applyFon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1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5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 hidden="1"/>
    </xf>
    <xf numFmtId="3" fontId="5" fillId="0" borderId="16" xfId="0" applyNumberFormat="1" applyFont="1" applyFill="1" applyBorder="1" applyAlignment="1" applyProtection="1">
      <alignment horizontal="center" vertical="center"/>
      <protection hidden="1"/>
    </xf>
    <xf numFmtId="16" fontId="6" fillId="0" borderId="17" xfId="0" applyNumberFormat="1" applyFont="1" applyBorder="1" applyAlignment="1" applyProtection="1" quotePrefix="1">
      <alignment horizontal="left"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vertical="center"/>
      <protection hidden="1"/>
    </xf>
    <xf numFmtId="165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18" borderId="21" xfId="0" applyFont="1" applyFill="1" applyBorder="1" applyAlignment="1" applyProtection="1">
      <alignment vertical="center"/>
      <protection hidden="1"/>
    </xf>
    <xf numFmtId="0" fontId="7" fillId="12" borderId="21" xfId="0" applyFont="1" applyFill="1" applyBorder="1" applyAlignment="1" applyProtection="1">
      <alignment vertical="center"/>
      <protection hidden="1"/>
    </xf>
    <xf numFmtId="14" fontId="10" fillId="12" borderId="21" xfId="0" applyNumberFormat="1" applyFont="1" applyFill="1" applyBorder="1" applyAlignment="1" applyProtection="1" quotePrefix="1">
      <alignment horizontal="left" vertical="center"/>
      <protection locked="0"/>
    </xf>
    <xf numFmtId="14" fontId="10" fillId="12" borderId="21" xfId="0" applyNumberFormat="1" applyFont="1" applyFill="1" applyBorder="1" applyAlignment="1" applyProtection="1" quotePrefix="1">
      <alignment horizontal="left" vertical="center"/>
      <protection hidden="1"/>
    </xf>
    <xf numFmtId="0" fontId="3" fillId="0" borderId="22" xfId="0" applyFont="1" applyBorder="1" applyAlignment="1" applyProtection="1">
      <alignment vertical="center"/>
      <protection locked="0"/>
    </xf>
    <xf numFmtId="14" fontId="7" fillId="18" borderId="21" xfId="0" applyNumberFormat="1" applyFont="1" applyFill="1" applyBorder="1" applyAlignment="1" applyProtection="1" quotePrefix="1">
      <alignment horizontal="left" vertical="center"/>
      <protection locked="0"/>
    </xf>
    <xf numFmtId="14" fontId="7" fillId="18" borderId="21" xfId="0" applyNumberFormat="1" applyFont="1" applyFill="1" applyBorder="1" applyAlignment="1" applyProtection="1" quotePrefix="1">
      <alignment horizontal="left" vertical="center"/>
      <protection hidden="1"/>
    </xf>
    <xf numFmtId="0" fontId="7" fillId="19" borderId="21" xfId="0" applyFont="1" applyFill="1" applyBorder="1" applyAlignment="1" applyProtection="1">
      <alignment horizontal="left" vertical="center"/>
      <protection locked="0"/>
    </xf>
    <xf numFmtId="0" fontId="7" fillId="19" borderId="21" xfId="0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locked="0"/>
    </xf>
    <xf numFmtId="0" fontId="2" fillId="0" borderId="0" xfId="53" applyFont="1" applyAlignment="1" applyProtection="1">
      <alignment horizontal="left" vertical="center"/>
      <protection hidden="1"/>
    </xf>
    <xf numFmtId="0" fontId="2" fillId="0" borderId="0" xfId="53" applyFont="1" applyAlignment="1" applyProtection="1">
      <alignment vertical="center"/>
      <protection hidden="1"/>
    </xf>
    <xf numFmtId="164" fontId="2" fillId="0" borderId="0" xfId="53" applyNumberFormat="1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center" vertical="center"/>
      <protection hidden="1"/>
    </xf>
    <xf numFmtId="164" fontId="7" fillId="7" borderId="23" xfId="53" applyNumberFormat="1" applyFont="1" applyFill="1" applyBorder="1" applyAlignment="1" applyProtection="1">
      <alignment horizontal="center" vertical="justify"/>
      <protection hidden="1"/>
    </xf>
    <xf numFmtId="0" fontId="7" fillId="0" borderId="15" xfId="53" applyFont="1" applyBorder="1" applyAlignment="1" applyProtection="1">
      <alignment horizontal="center" vertical="center"/>
      <protection hidden="1"/>
    </xf>
    <xf numFmtId="0" fontId="6" fillId="0" borderId="11" xfId="53" applyFont="1" applyBorder="1" applyAlignment="1" applyProtection="1">
      <alignment horizontal="left" vertical="center"/>
      <protection hidden="1"/>
    </xf>
    <xf numFmtId="0" fontId="7" fillId="0" borderId="11" xfId="53" applyFont="1" applyBorder="1" applyAlignment="1" applyProtection="1">
      <alignment horizontal="center" vertical="center"/>
      <protection hidden="1"/>
    </xf>
    <xf numFmtId="164" fontId="7" fillId="7" borderId="24" xfId="53" applyNumberFormat="1" applyFont="1" applyFill="1" applyBorder="1" applyAlignment="1" applyProtection="1">
      <alignment horizontal="center" vertical="justify"/>
      <protection hidden="1"/>
    </xf>
    <xf numFmtId="0" fontId="7" fillId="0" borderId="25" xfId="53" applyFont="1" applyBorder="1" applyAlignment="1" applyProtection="1">
      <alignment horizontal="center" vertical="center"/>
      <protection hidden="1"/>
    </xf>
    <xf numFmtId="0" fontId="7" fillId="0" borderId="26" xfId="53" applyFont="1" applyBorder="1" applyAlignment="1" applyProtection="1">
      <alignment horizontal="center" vertical="center"/>
      <protection hidden="1"/>
    </xf>
    <xf numFmtId="0" fontId="7" fillId="0" borderId="27" xfId="53" applyFont="1" applyBorder="1" applyAlignment="1" applyProtection="1">
      <alignment horizontal="center" vertical="center"/>
      <protection hidden="1"/>
    </xf>
    <xf numFmtId="0" fontId="8" fillId="0" borderId="12" xfId="53" applyFont="1" applyBorder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center" vertical="center"/>
      <protection hidden="1"/>
    </xf>
    <xf numFmtId="0" fontId="8" fillId="0" borderId="14" xfId="53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center" vertical="center" wrapText="1"/>
      <protection hidden="1"/>
    </xf>
    <xf numFmtId="0" fontId="7" fillId="0" borderId="16" xfId="53" applyFont="1" applyBorder="1" applyAlignment="1" applyProtection="1">
      <alignment horizontal="left" vertical="center"/>
      <protection/>
    </xf>
    <xf numFmtId="0" fontId="7" fillId="0" borderId="16" xfId="53" applyFont="1" applyBorder="1" applyAlignment="1" applyProtection="1">
      <alignment vertical="center"/>
      <protection hidden="1"/>
    </xf>
    <xf numFmtId="165" fontId="5" fillId="0" borderId="28" xfId="53" applyNumberFormat="1" applyFont="1" applyBorder="1" applyAlignment="1" applyProtection="1">
      <alignment horizontal="center" vertical="center"/>
      <protection hidden="1"/>
    </xf>
    <xf numFmtId="164" fontId="5" fillId="7" borderId="29" xfId="53" applyNumberFormat="1" applyFont="1" applyFill="1" applyBorder="1" applyAlignment="1" applyProtection="1">
      <alignment horizontal="center" vertical="center"/>
      <protection hidden="1"/>
    </xf>
    <xf numFmtId="165" fontId="5" fillId="0" borderId="30" xfId="53" applyNumberFormat="1" applyFont="1" applyBorder="1" applyAlignment="1" applyProtection="1">
      <alignment horizontal="center" vertical="center"/>
      <protection hidden="1"/>
    </xf>
    <xf numFmtId="165" fontId="5" fillId="0" borderId="31" xfId="53" applyNumberFormat="1" applyFont="1" applyBorder="1" applyAlignment="1" applyProtection="1">
      <alignment horizontal="center" vertical="center"/>
      <protection hidden="1"/>
    </xf>
    <xf numFmtId="165" fontId="5" fillId="0" borderId="32" xfId="53" applyNumberFormat="1" applyFont="1" applyBorder="1" applyAlignment="1" applyProtection="1">
      <alignment horizontal="center" vertical="center"/>
      <protection hidden="1"/>
    </xf>
    <xf numFmtId="3" fontId="5" fillId="2" borderId="28" xfId="53" applyNumberFormat="1" applyFont="1" applyFill="1" applyBorder="1" applyAlignment="1" applyProtection="1">
      <alignment horizontal="center" vertical="center"/>
      <protection hidden="1"/>
    </xf>
    <xf numFmtId="3" fontId="5" fillId="0" borderId="16" xfId="53" applyNumberFormat="1" applyFont="1" applyFill="1" applyBorder="1" applyAlignment="1" applyProtection="1">
      <alignment horizontal="center" vertical="center"/>
      <protection hidden="1"/>
    </xf>
    <xf numFmtId="165" fontId="9" fillId="0" borderId="33" xfId="53" applyNumberFormat="1" applyFont="1" applyBorder="1" applyAlignment="1" applyProtection="1">
      <alignment horizontal="center" vertical="center"/>
      <protection hidden="1"/>
    </xf>
    <xf numFmtId="165" fontId="9" fillId="0" borderId="31" xfId="53" applyNumberFormat="1" applyFont="1" applyBorder="1" applyAlignment="1" applyProtection="1">
      <alignment horizontal="center" vertical="center"/>
      <protection hidden="1"/>
    </xf>
    <xf numFmtId="3" fontId="5" fillId="2" borderId="16" xfId="53" applyNumberFormat="1" applyFont="1" applyFill="1" applyBorder="1" applyAlignment="1" applyProtection="1">
      <alignment horizontal="center" vertical="center"/>
      <protection hidden="1"/>
    </xf>
    <xf numFmtId="165" fontId="9" fillId="0" borderId="32" xfId="53" applyNumberFormat="1" applyFont="1" applyBorder="1" applyAlignment="1" applyProtection="1">
      <alignment horizontal="center" vertical="center"/>
      <protection hidden="1"/>
    </xf>
    <xf numFmtId="3" fontId="5" fillId="7" borderId="16" xfId="53" applyNumberFormat="1" applyFont="1" applyFill="1" applyBorder="1" applyAlignment="1" applyProtection="1">
      <alignment horizontal="center" vertical="center"/>
      <protection hidden="1"/>
    </xf>
    <xf numFmtId="16" fontId="6" fillId="0" borderId="17" xfId="53" applyNumberFormat="1" applyFont="1" applyBorder="1" applyAlignment="1" applyProtection="1" quotePrefix="1">
      <alignment horizontal="left" vertical="center"/>
      <protection hidden="1"/>
    </xf>
    <xf numFmtId="0" fontId="6" fillId="0" borderId="17" xfId="53" applyFont="1" applyBorder="1" applyAlignment="1" applyProtection="1">
      <alignment vertical="center"/>
      <protection hidden="1"/>
    </xf>
    <xf numFmtId="165" fontId="2" fillId="0" borderId="34" xfId="53" applyNumberFormat="1" applyFont="1" applyBorder="1" applyAlignment="1" applyProtection="1">
      <alignment horizontal="center" vertical="center"/>
      <protection locked="0"/>
    </xf>
    <xf numFmtId="164" fontId="2" fillId="7" borderId="35" xfId="53" applyNumberFormat="1" applyFont="1" applyFill="1" applyBorder="1" applyAlignment="1" applyProtection="1">
      <alignment horizontal="center" vertical="center"/>
      <protection locked="0"/>
    </xf>
    <xf numFmtId="165" fontId="2" fillId="0" borderId="36" xfId="53" applyNumberFormat="1" applyFont="1" applyBorder="1" applyAlignment="1" applyProtection="1">
      <alignment horizontal="center" vertical="center"/>
      <protection hidden="1"/>
    </xf>
    <xf numFmtId="165" fontId="2" fillId="0" borderId="22" xfId="53" applyNumberFormat="1" applyFont="1" applyBorder="1" applyAlignment="1" applyProtection="1">
      <alignment horizontal="center" vertical="center"/>
      <protection hidden="1"/>
    </xf>
    <xf numFmtId="165" fontId="2" fillId="0" borderId="37" xfId="53" applyNumberFormat="1" applyFont="1" applyBorder="1" applyAlignment="1" applyProtection="1">
      <alignment horizontal="center" vertical="center"/>
      <protection hidden="1"/>
    </xf>
    <xf numFmtId="3" fontId="2" fillId="2" borderId="34" xfId="53" applyNumberFormat="1" applyFont="1" applyFill="1" applyBorder="1" applyAlignment="1" applyProtection="1">
      <alignment horizontal="center" vertical="center"/>
      <protection hidden="1"/>
    </xf>
    <xf numFmtId="3" fontId="2" fillId="0" borderId="17" xfId="53" applyNumberFormat="1" applyFont="1" applyFill="1" applyBorder="1" applyAlignment="1" applyProtection="1">
      <alignment horizontal="center" vertical="center"/>
      <protection hidden="1"/>
    </xf>
    <xf numFmtId="165" fontId="3" fillId="0" borderId="38" xfId="53" applyNumberFormat="1" applyFont="1" applyBorder="1" applyAlignment="1" applyProtection="1">
      <alignment horizontal="center" vertical="center"/>
      <protection hidden="1"/>
    </xf>
    <xf numFmtId="165" fontId="3" fillId="0" borderId="22" xfId="53" applyNumberFormat="1" applyFont="1" applyBorder="1" applyAlignment="1" applyProtection="1">
      <alignment horizontal="center" vertical="center"/>
      <protection hidden="1"/>
    </xf>
    <xf numFmtId="165" fontId="3" fillId="0" borderId="37" xfId="53" applyNumberFormat="1" applyFont="1" applyBorder="1" applyAlignment="1" applyProtection="1">
      <alignment horizontal="center" vertical="center"/>
      <protection hidden="1"/>
    </xf>
    <xf numFmtId="3" fontId="2" fillId="2" borderId="17" xfId="53" applyNumberFormat="1" applyFont="1" applyFill="1" applyBorder="1" applyAlignment="1" applyProtection="1">
      <alignment horizontal="center" vertical="center"/>
      <protection hidden="1"/>
    </xf>
    <xf numFmtId="3" fontId="2" fillId="7" borderId="17" xfId="53" applyNumberFormat="1" applyFont="1" applyFill="1" applyBorder="1" applyAlignment="1" applyProtection="1">
      <alignment horizontal="center" vertical="center"/>
      <protection hidden="1"/>
    </xf>
    <xf numFmtId="0" fontId="6" fillId="0" borderId="18" xfId="53" applyFont="1" applyBorder="1" applyAlignment="1" applyProtection="1">
      <alignment vertical="center"/>
      <protection hidden="1"/>
    </xf>
    <xf numFmtId="165" fontId="2" fillId="0" borderId="39" xfId="53" applyNumberFormat="1" applyFont="1" applyBorder="1" applyAlignment="1" applyProtection="1">
      <alignment horizontal="center" vertical="center"/>
      <protection locked="0"/>
    </xf>
    <xf numFmtId="164" fontId="2" fillId="7" borderId="40" xfId="53" applyNumberFormat="1" applyFont="1" applyFill="1" applyBorder="1" applyAlignment="1" applyProtection="1">
      <alignment horizontal="center" vertical="center"/>
      <protection locked="0"/>
    </xf>
    <xf numFmtId="165" fontId="3" fillId="0" borderId="41" xfId="53" applyNumberFormat="1" applyFont="1" applyBorder="1" applyAlignment="1" applyProtection="1">
      <alignment horizontal="center" vertical="center"/>
      <protection hidden="1"/>
    </xf>
    <xf numFmtId="165" fontId="3" fillId="0" borderId="42" xfId="53" applyNumberFormat="1" applyFont="1" applyBorder="1" applyAlignment="1" applyProtection="1">
      <alignment horizontal="center" vertical="center"/>
      <protection hidden="1"/>
    </xf>
    <xf numFmtId="165" fontId="3" fillId="0" borderId="43" xfId="53" applyNumberFormat="1" applyFont="1" applyBorder="1" applyAlignment="1" applyProtection="1">
      <alignment horizontal="center" vertical="center"/>
      <protection hidden="1"/>
    </xf>
    <xf numFmtId="0" fontId="7" fillId="0" borderId="19" xfId="53" applyFont="1" applyBorder="1" applyAlignment="1" applyProtection="1">
      <alignment horizontal="left" vertical="center"/>
      <protection locked="0"/>
    </xf>
    <xf numFmtId="0" fontId="7" fillId="0" borderId="20" xfId="53" applyFont="1" applyBorder="1" applyAlignment="1" applyProtection="1">
      <alignment vertical="center"/>
      <protection hidden="1"/>
    </xf>
    <xf numFmtId="165" fontId="5" fillId="0" borderId="44" xfId="53" applyNumberFormat="1" applyFont="1" applyBorder="1" applyAlignment="1" applyProtection="1">
      <alignment horizontal="center" vertical="center"/>
      <protection hidden="1"/>
    </xf>
    <xf numFmtId="164" fontId="5" fillId="7" borderId="45" xfId="53" applyNumberFormat="1" applyFont="1" applyFill="1" applyBorder="1" applyAlignment="1" applyProtection="1">
      <alignment horizontal="center" vertical="center"/>
      <protection hidden="1"/>
    </xf>
    <xf numFmtId="165" fontId="5" fillId="0" borderId="46" xfId="53" applyNumberFormat="1" applyFont="1" applyBorder="1" applyAlignment="1" applyProtection="1">
      <alignment horizontal="center" vertical="center"/>
      <protection hidden="1"/>
    </xf>
    <xf numFmtId="165" fontId="5" fillId="0" borderId="47" xfId="53" applyNumberFormat="1" applyFont="1" applyBorder="1" applyAlignment="1" applyProtection="1">
      <alignment horizontal="center" vertical="center"/>
      <protection hidden="1"/>
    </xf>
    <xf numFmtId="165" fontId="5" fillId="2" borderId="44" xfId="53" applyNumberFormat="1" applyFont="1" applyFill="1" applyBorder="1" applyAlignment="1" applyProtection="1">
      <alignment horizontal="center" vertical="center"/>
      <protection hidden="1"/>
    </xf>
    <xf numFmtId="165" fontId="5" fillId="0" borderId="19" xfId="53" applyNumberFormat="1" applyFont="1" applyFill="1" applyBorder="1" applyAlignment="1" applyProtection="1">
      <alignment horizontal="center" vertical="center"/>
      <protection hidden="1"/>
    </xf>
    <xf numFmtId="165" fontId="9" fillId="0" borderId="48" xfId="53" applyNumberFormat="1" applyFont="1" applyBorder="1" applyAlignment="1" applyProtection="1">
      <alignment horizontal="center" vertical="center"/>
      <protection hidden="1"/>
    </xf>
    <xf numFmtId="165" fontId="9" fillId="0" borderId="47" xfId="53" applyNumberFormat="1" applyFont="1" applyBorder="1" applyAlignment="1" applyProtection="1">
      <alignment horizontal="center" vertical="center"/>
      <protection hidden="1"/>
    </xf>
    <xf numFmtId="165" fontId="5" fillId="3" borderId="48" xfId="53" applyNumberFormat="1" applyFont="1" applyFill="1" applyBorder="1" applyAlignment="1" applyProtection="1">
      <alignment horizontal="center" vertical="center"/>
      <protection hidden="1"/>
    </xf>
    <xf numFmtId="165" fontId="9" fillId="0" borderId="49" xfId="53" applyNumberFormat="1" applyFont="1" applyBorder="1" applyAlignment="1" applyProtection="1">
      <alignment horizontal="center" vertical="center"/>
      <protection hidden="1"/>
    </xf>
    <xf numFmtId="165" fontId="5" fillId="2" borderId="19" xfId="53" applyNumberFormat="1" applyFont="1" applyFill="1" applyBorder="1" applyAlignment="1" applyProtection="1">
      <alignment horizontal="center" vertical="center"/>
      <protection hidden="1"/>
    </xf>
    <xf numFmtId="0" fontId="7" fillId="0" borderId="50" xfId="53" applyFont="1" applyBorder="1" applyAlignment="1" applyProtection="1">
      <alignment horizontal="left" vertical="center"/>
      <protection locked="0"/>
    </xf>
    <xf numFmtId="0" fontId="7" fillId="0" borderId="51" xfId="53" applyFont="1" applyBorder="1" applyAlignment="1" applyProtection="1">
      <alignment vertical="center"/>
      <protection hidden="1"/>
    </xf>
    <xf numFmtId="165" fontId="5" fillId="0" borderId="52" xfId="53" applyNumberFormat="1" applyFont="1" applyBorder="1" applyAlignment="1" applyProtection="1">
      <alignment horizontal="center" vertical="center"/>
      <protection hidden="1"/>
    </xf>
    <xf numFmtId="164" fontId="5" fillId="7" borderId="53" xfId="53" applyNumberFormat="1" applyFont="1" applyFill="1" applyBorder="1" applyAlignment="1" applyProtection="1">
      <alignment horizontal="center" vertical="center"/>
      <protection hidden="1"/>
    </xf>
    <xf numFmtId="165" fontId="5" fillId="0" borderId="54" xfId="53" applyNumberFormat="1" applyFont="1" applyBorder="1" applyAlignment="1" applyProtection="1">
      <alignment horizontal="center" vertical="center"/>
      <protection hidden="1"/>
    </xf>
    <xf numFmtId="165" fontId="5" fillId="2" borderId="52" xfId="53" applyNumberFormat="1" applyFont="1" applyFill="1" applyBorder="1" applyAlignment="1" applyProtection="1">
      <alignment horizontal="center" vertical="center"/>
      <protection hidden="1"/>
    </xf>
    <xf numFmtId="165" fontId="5" fillId="0" borderId="50" xfId="53" applyNumberFormat="1" applyFont="1" applyFill="1" applyBorder="1" applyAlignment="1" applyProtection="1">
      <alignment horizontal="center" vertical="center"/>
      <protection hidden="1"/>
    </xf>
    <xf numFmtId="165" fontId="9" fillId="0" borderId="55" xfId="53" applyNumberFormat="1" applyFont="1" applyBorder="1" applyAlignment="1" applyProtection="1">
      <alignment horizontal="center" vertical="center"/>
      <protection hidden="1"/>
    </xf>
    <xf numFmtId="165" fontId="9" fillId="0" borderId="56" xfId="53" applyNumberFormat="1" applyFont="1" applyBorder="1" applyAlignment="1" applyProtection="1">
      <alignment horizontal="center" vertical="center"/>
      <protection hidden="1"/>
    </xf>
    <xf numFmtId="165" fontId="9" fillId="0" borderId="57" xfId="53" applyNumberFormat="1" applyFont="1" applyBorder="1" applyAlignment="1" applyProtection="1">
      <alignment horizontal="center" vertical="center"/>
      <protection hidden="1"/>
    </xf>
    <xf numFmtId="165" fontId="5" fillId="3" borderId="57" xfId="53" applyNumberFormat="1" applyFont="1" applyFill="1" applyBorder="1" applyAlignment="1" applyProtection="1">
      <alignment horizontal="center" vertical="center"/>
      <protection hidden="1"/>
    </xf>
    <xf numFmtId="165" fontId="5" fillId="2" borderId="50" xfId="53" applyNumberFormat="1" applyFont="1" applyFill="1" applyBorder="1" applyAlignment="1" applyProtection="1">
      <alignment horizontal="center" vertical="center"/>
      <protection hidden="1"/>
    </xf>
    <xf numFmtId="0" fontId="7" fillId="0" borderId="21" xfId="53" applyFont="1" applyBorder="1" applyAlignment="1" applyProtection="1">
      <alignment horizontal="left" vertical="center"/>
      <protection locked="0"/>
    </xf>
    <xf numFmtId="0" fontId="7" fillId="0" borderId="21" xfId="53" applyFont="1" applyBorder="1" applyAlignment="1" applyProtection="1">
      <alignment vertical="center"/>
      <protection hidden="1"/>
    </xf>
    <xf numFmtId="3" fontId="9" fillId="0" borderId="58" xfId="53" applyNumberFormat="1" applyFont="1" applyBorder="1" applyAlignment="1" applyProtection="1">
      <alignment horizontal="center" vertical="center"/>
      <protection hidden="1"/>
    </xf>
    <xf numFmtId="164" fontId="9" fillId="7" borderId="59" xfId="53" applyNumberFormat="1" applyFont="1" applyFill="1" applyBorder="1" applyAlignment="1" applyProtection="1">
      <alignment horizontal="center" vertical="center"/>
      <protection hidden="1"/>
    </xf>
    <xf numFmtId="3" fontId="9" fillId="0" borderId="60" xfId="53" applyNumberFormat="1" applyFont="1" applyBorder="1" applyAlignment="1" applyProtection="1">
      <alignment horizontal="center" vertical="center"/>
      <protection hidden="1"/>
    </xf>
    <xf numFmtId="3" fontId="9" fillId="0" borderId="61" xfId="53" applyNumberFormat="1" applyFont="1" applyBorder="1" applyAlignment="1" applyProtection="1">
      <alignment horizontal="center" vertical="center"/>
      <protection hidden="1"/>
    </xf>
    <xf numFmtId="3" fontId="9" fillId="2" borderId="58" xfId="53" applyNumberFormat="1" applyFont="1" applyFill="1" applyBorder="1" applyAlignment="1" applyProtection="1">
      <alignment horizontal="center" vertical="center"/>
      <protection hidden="1"/>
    </xf>
    <xf numFmtId="3" fontId="9" fillId="0" borderId="21" xfId="53" applyNumberFormat="1" applyFont="1" applyFill="1" applyBorder="1" applyAlignment="1" applyProtection="1">
      <alignment horizontal="center" vertical="center"/>
      <protection hidden="1"/>
    </xf>
    <xf numFmtId="3" fontId="9" fillId="0" borderId="62" xfId="53" applyNumberFormat="1" applyFont="1" applyBorder="1" applyAlignment="1" applyProtection="1">
      <alignment horizontal="center" vertical="center"/>
      <protection hidden="1"/>
    </xf>
    <xf numFmtId="3" fontId="9" fillId="0" borderId="63" xfId="53" applyNumberFormat="1" applyFont="1" applyBorder="1" applyAlignment="1" applyProtection="1">
      <alignment horizontal="center" vertical="center"/>
      <protection hidden="1"/>
    </xf>
    <xf numFmtId="3" fontId="5" fillId="2" borderId="21" xfId="53" applyNumberFormat="1" applyFont="1" applyFill="1" applyBorder="1" applyAlignment="1" applyProtection="1">
      <alignment horizontal="center" vertical="center"/>
      <protection hidden="1"/>
    </xf>
    <xf numFmtId="0" fontId="7" fillId="18" borderId="21" xfId="53" applyFont="1" applyFill="1" applyBorder="1" applyAlignment="1" applyProtection="1">
      <alignment horizontal="left" vertical="center"/>
      <protection locked="0"/>
    </xf>
    <xf numFmtId="0" fontId="7" fillId="18" borderId="21" xfId="53" applyFont="1" applyFill="1" applyBorder="1" applyAlignment="1" applyProtection="1">
      <alignment vertical="center"/>
      <protection hidden="1"/>
    </xf>
    <xf numFmtId="3" fontId="9" fillId="18" borderId="58" xfId="53" applyNumberFormat="1" applyFont="1" applyFill="1" applyBorder="1" applyAlignment="1" applyProtection="1">
      <alignment horizontal="center" vertical="center"/>
      <protection hidden="1"/>
    </xf>
    <xf numFmtId="164" fontId="9" fillId="18" borderId="59" xfId="53" applyNumberFormat="1" applyFont="1" applyFill="1" applyBorder="1" applyAlignment="1" applyProtection="1">
      <alignment horizontal="center" vertical="center"/>
      <protection hidden="1"/>
    </xf>
    <xf numFmtId="3" fontId="9" fillId="18" borderId="36" xfId="53" applyNumberFormat="1" applyFont="1" applyFill="1" applyBorder="1" applyAlignment="1" applyProtection="1">
      <alignment horizontal="center" vertical="center"/>
      <protection hidden="1"/>
    </xf>
    <xf numFmtId="3" fontId="9" fillId="18" borderId="22" xfId="53" applyNumberFormat="1" applyFont="1" applyFill="1" applyBorder="1" applyAlignment="1" applyProtection="1">
      <alignment horizontal="center" vertical="center"/>
      <protection hidden="1"/>
    </xf>
    <xf numFmtId="3" fontId="9" fillId="18" borderId="37" xfId="53" applyNumberFormat="1" applyFont="1" applyFill="1" applyBorder="1" applyAlignment="1" applyProtection="1">
      <alignment horizontal="center" vertical="center"/>
      <protection hidden="1"/>
    </xf>
    <xf numFmtId="3" fontId="9" fillId="18" borderId="34" xfId="53" applyNumberFormat="1" applyFont="1" applyFill="1" applyBorder="1" applyAlignment="1" applyProtection="1">
      <alignment horizontal="center" vertical="center"/>
      <protection hidden="1"/>
    </xf>
    <xf numFmtId="3" fontId="9" fillId="18" borderId="17" xfId="53" applyNumberFormat="1" applyFont="1" applyFill="1" applyBorder="1" applyAlignment="1" applyProtection="1">
      <alignment horizontal="center" vertical="center"/>
      <protection hidden="1"/>
    </xf>
    <xf numFmtId="3" fontId="9" fillId="18" borderId="38" xfId="53" applyNumberFormat="1" applyFont="1" applyFill="1" applyBorder="1" applyAlignment="1" applyProtection="1">
      <alignment horizontal="center" vertical="center"/>
      <protection hidden="1"/>
    </xf>
    <xf numFmtId="3" fontId="5" fillId="18" borderId="17" xfId="53" applyNumberFormat="1" applyFont="1" applyFill="1" applyBorder="1" applyAlignment="1" applyProtection="1">
      <alignment horizontal="center" vertical="center"/>
      <protection hidden="1"/>
    </xf>
    <xf numFmtId="3" fontId="9" fillId="18" borderId="64" xfId="53" applyNumberFormat="1" applyFont="1" applyFill="1" applyBorder="1" applyAlignment="1" applyProtection="1">
      <alignment horizontal="center" vertical="center"/>
      <protection hidden="1"/>
    </xf>
    <xf numFmtId="3" fontId="5" fillId="18" borderId="34" xfId="53" applyNumberFormat="1" applyFont="1" applyFill="1" applyBorder="1" applyAlignment="1" applyProtection="1">
      <alignment horizontal="center" vertical="center"/>
      <protection hidden="1"/>
    </xf>
    <xf numFmtId="14" fontId="10" fillId="12" borderId="21" xfId="53" applyNumberFormat="1" applyFont="1" applyFill="1" applyBorder="1" applyAlignment="1" applyProtection="1" quotePrefix="1">
      <alignment horizontal="left" vertical="center"/>
      <protection locked="0"/>
    </xf>
    <xf numFmtId="0" fontId="7" fillId="12" borderId="21" xfId="53" applyFont="1" applyFill="1" applyBorder="1" applyAlignment="1" applyProtection="1">
      <alignment vertical="center"/>
      <protection hidden="1"/>
    </xf>
    <xf numFmtId="3" fontId="9" fillId="12" borderId="58" xfId="53" applyNumberFormat="1" applyFont="1" applyFill="1" applyBorder="1" applyAlignment="1" applyProtection="1">
      <alignment horizontal="center" vertical="center"/>
      <protection hidden="1"/>
    </xf>
    <xf numFmtId="164" fontId="9" fillId="12" borderId="59" xfId="53" applyNumberFormat="1" applyFont="1" applyFill="1" applyBorder="1" applyAlignment="1" applyProtection="1">
      <alignment horizontal="center" vertical="center"/>
      <protection hidden="1"/>
    </xf>
    <xf numFmtId="3" fontId="9" fillId="12" borderId="36" xfId="53" applyNumberFormat="1" applyFont="1" applyFill="1" applyBorder="1" applyAlignment="1" applyProtection="1">
      <alignment horizontal="center" vertical="center"/>
      <protection hidden="1"/>
    </xf>
    <xf numFmtId="3" fontId="9" fillId="12" borderId="22" xfId="53" applyNumberFormat="1" applyFont="1" applyFill="1" applyBorder="1" applyAlignment="1" applyProtection="1">
      <alignment horizontal="center" vertical="center"/>
      <protection hidden="1"/>
    </xf>
    <xf numFmtId="3" fontId="9" fillId="12" borderId="64" xfId="53" applyNumberFormat="1" applyFont="1" applyFill="1" applyBorder="1" applyAlignment="1" applyProtection="1">
      <alignment horizontal="center" vertical="center"/>
      <protection hidden="1"/>
    </xf>
    <xf numFmtId="3" fontId="9" fillId="12" borderId="34" xfId="53" applyNumberFormat="1" applyFont="1" applyFill="1" applyBorder="1" applyAlignment="1" applyProtection="1">
      <alignment horizontal="center" vertical="center"/>
      <protection hidden="1"/>
    </xf>
    <xf numFmtId="3" fontId="9" fillId="12" borderId="17" xfId="53" applyNumberFormat="1" applyFont="1" applyFill="1" applyBorder="1" applyAlignment="1" applyProtection="1">
      <alignment horizontal="center" vertical="center"/>
      <protection hidden="1"/>
    </xf>
    <xf numFmtId="3" fontId="9" fillId="12" borderId="38" xfId="53" applyNumberFormat="1" applyFont="1" applyFill="1" applyBorder="1" applyAlignment="1" applyProtection="1">
      <alignment horizontal="center" vertical="center"/>
      <protection hidden="1"/>
    </xf>
    <xf numFmtId="3" fontId="9" fillId="12" borderId="37" xfId="53" applyNumberFormat="1" applyFont="1" applyFill="1" applyBorder="1" applyAlignment="1" applyProtection="1">
      <alignment horizontal="center" vertical="center"/>
      <protection hidden="1"/>
    </xf>
    <xf numFmtId="3" fontId="5" fillId="12" borderId="34" xfId="53" applyNumberFormat="1" applyFont="1" applyFill="1" applyBorder="1" applyAlignment="1" applyProtection="1">
      <alignment horizontal="center" vertical="center"/>
      <protection hidden="1"/>
    </xf>
    <xf numFmtId="3" fontId="5" fillId="12" borderId="17" xfId="53" applyNumberFormat="1" applyFont="1" applyFill="1" applyBorder="1" applyAlignment="1" applyProtection="1">
      <alignment horizontal="center" vertical="center"/>
      <protection hidden="1"/>
    </xf>
    <xf numFmtId="14" fontId="7" fillId="18" borderId="21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Font="1" applyAlignment="1" applyProtection="1">
      <alignment vertical="center"/>
      <protection locked="0"/>
    </xf>
    <xf numFmtId="14" fontId="10" fillId="12" borderId="21" xfId="53" applyNumberFormat="1" applyFont="1" applyFill="1" applyBorder="1" applyAlignment="1" applyProtection="1" quotePrefix="1">
      <alignment horizontal="left" vertical="center"/>
      <protection hidden="1"/>
    </xf>
    <xf numFmtId="14" fontId="10" fillId="20" borderId="21" xfId="53" applyNumberFormat="1" applyFont="1" applyFill="1" applyBorder="1" applyAlignment="1" applyProtection="1" quotePrefix="1">
      <alignment horizontal="left" vertical="center"/>
      <protection hidden="1"/>
    </xf>
    <xf numFmtId="0" fontId="7" fillId="20" borderId="21" xfId="53" applyFont="1" applyFill="1" applyBorder="1" applyAlignment="1" applyProtection="1">
      <alignment vertical="center"/>
      <protection hidden="1"/>
    </xf>
    <xf numFmtId="3" fontId="9" fillId="20" borderId="58" xfId="53" applyNumberFormat="1" applyFont="1" applyFill="1" applyBorder="1" applyAlignment="1" applyProtection="1">
      <alignment horizontal="center" vertical="center"/>
      <protection hidden="1"/>
    </xf>
    <xf numFmtId="164" fontId="9" fillId="20" borderId="59" xfId="53" applyNumberFormat="1" applyFont="1" applyFill="1" applyBorder="1" applyAlignment="1" applyProtection="1">
      <alignment horizontal="center" vertical="center"/>
      <protection hidden="1"/>
    </xf>
    <xf numFmtId="3" fontId="9" fillId="20" borderId="36" xfId="53" applyNumberFormat="1" applyFont="1" applyFill="1" applyBorder="1" applyAlignment="1" applyProtection="1">
      <alignment horizontal="center" vertical="center"/>
      <protection hidden="1"/>
    </xf>
    <xf numFmtId="3" fontId="9" fillId="20" borderId="22" xfId="53" applyNumberFormat="1" applyFont="1" applyFill="1" applyBorder="1" applyAlignment="1" applyProtection="1">
      <alignment horizontal="center" vertical="center"/>
      <protection hidden="1"/>
    </xf>
    <xf numFmtId="3" fontId="9" fillId="20" borderId="34" xfId="53" applyNumberFormat="1" applyFont="1" applyFill="1" applyBorder="1" applyAlignment="1" applyProtection="1">
      <alignment horizontal="center" vertical="center"/>
      <protection hidden="1"/>
    </xf>
    <xf numFmtId="3" fontId="9" fillId="20" borderId="17" xfId="53" applyNumberFormat="1" applyFont="1" applyFill="1" applyBorder="1" applyAlignment="1" applyProtection="1">
      <alignment horizontal="center" vertical="center"/>
      <protection hidden="1"/>
    </xf>
    <xf numFmtId="3" fontId="9" fillId="20" borderId="38" xfId="53" applyNumberFormat="1" applyFont="1" applyFill="1" applyBorder="1" applyAlignment="1" applyProtection="1">
      <alignment horizontal="center" vertical="center"/>
      <protection hidden="1"/>
    </xf>
    <xf numFmtId="3" fontId="9" fillId="20" borderId="37" xfId="53" applyNumberFormat="1" applyFont="1" applyFill="1" applyBorder="1" applyAlignment="1" applyProtection="1">
      <alignment horizontal="center" vertical="center"/>
      <protection hidden="1"/>
    </xf>
    <xf numFmtId="3" fontId="5" fillId="20" borderId="34" xfId="53" applyNumberFormat="1" applyFont="1" applyFill="1" applyBorder="1" applyAlignment="1" applyProtection="1">
      <alignment horizontal="center" vertical="center"/>
      <protection hidden="1"/>
    </xf>
    <xf numFmtId="3" fontId="5" fillId="20" borderId="17" xfId="53" applyNumberFormat="1" applyFont="1" applyFill="1" applyBorder="1" applyAlignment="1" applyProtection="1">
      <alignment horizontal="center" vertical="center"/>
      <protection hidden="1"/>
    </xf>
    <xf numFmtId="0" fontId="3" fillId="20" borderId="0" xfId="53" applyFont="1" applyFill="1" applyAlignment="1" applyProtection="1">
      <alignment vertical="center"/>
      <protection locked="0"/>
    </xf>
    <xf numFmtId="0" fontId="13" fillId="18" borderId="65" xfId="53" applyFont="1" applyFill="1" applyBorder="1" applyAlignment="1">
      <alignment vertical="center" wrapText="1"/>
      <protection/>
    </xf>
    <xf numFmtId="3" fontId="9" fillId="5" borderId="38" xfId="53" applyNumberFormat="1" applyFont="1" applyFill="1" applyBorder="1" applyAlignment="1" applyProtection="1">
      <alignment horizontal="center" vertical="center"/>
      <protection hidden="1"/>
    </xf>
    <xf numFmtId="3" fontId="9" fillId="5" borderId="34" xfId="53" applyNumberFormat="1" applyFont="1" applyFill="1" applyBorder="1" applyAlignment="1" applyProtection="1">
      <alignment horizontal="center" vertical="center"/>
      <protection hidden="1"/>
    </xf>
    <xf numFmtId="3" fontId="3" fillId="0" borderId="0" xfId="53" applyNumberFormat="1" applyFont="1" applyAlignment="1" applyProtection="1">
      <alignment vertical="center"/>
      <protection locked="0"/>
    </xf>
    <xf numFmtId="3" fontId="3" fillId="0" borderId="0" xfId="53" applyNumberFormat="1" applyFont="1" applyAlignment="1" applyProtection="1">
      <alignment horizontal="left" vertical="center"/>
      <protection locked="0"/>
    </xf>
    <xf numFmtId="0" fontId="14" fillId="17" borderId="65" xfId="53" applyFont="1" applyFill="1" applyBorder="1" applyAlignment="1">
      <alignment vertical="center" wrapText="1"/>
      <protection/>
    </xf>
    <xf numFmtId="3" fontId="9" fillId="17" borderId="34" xfId="53" applyNumberFormat="1" applyFont="1" applyFill="1" applyBorder="1" applyAlignment="1" applyProtection="1">
      <alignment horizontal="center" vertical="center"/>
      <protection hidden="1"/>
    </xf>
    <xf numFmtId="3" fontId="9" fillId="17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22" xfId="53" applyFont="1" applyBorder="1" applyAlignment="1" applyProtection="1">
      <alignment vertical="center"/>
      <protection locked="0"/>
    </xf>
    <xf numFmtId="0" fontId="2" fillId="0" borderId="22" xfId="53" applyFont="1" applyBorder="1" applyAlignment="1" applyProtection="1">
      <alignment vertical="center"/>
      <protection locked="0"/>
    </xf>
    <xf numFmtId="0" fontId="10" fillId="0" borderId="17" xfId="53" applyFont="1" applyFill="1" applyBorder="1" applyAlignment="1" applyProtection="1">
      <alignment horizontal="left" vertical="center"/>
      <protection locked="0"/>
    </xf>
    <xf numFmtId="0" fontId="7" fillId="12" borderId="22" xfId="53" applyFont="1" applyFill="1" applyBorder="1" applyAlignment="1" applyProtection="1">
      <alignment vertical="center"/>
      <protection hidden="1"/>
    </xf>
    <xf numFmtId="3" fontId="2" fillId="0" borderId="22" xfId="53" applyNumberFormat="1" applyFont="1" applyBorder="1" applyAlignment="1" applyProtection="1">
      <alignment vertical="center"/>
      <protection locked="0"/>
    </xf>
    <xf numFmtId="0" fontId="3" fillId="5" borderId="22" xfId="53" applyFont="1" applyFill="1" applyBorder="1" applyAlignment="1" applyProtection="1">
      <alignment vertical="center"/>
      <protection locked="0"/>
    </xf>
    <xf numFmtId="0" fontId="2" fillId="5" borderId="22" xfId="53" applyFont="1" applyFill="1" applyBorder="1" applyAlignment="1" applyProtection="1">
      <alignment vertical="center"/>
      <protection locked="0"/>
    </xf>
    <xf numFmtId="0" fontId="7" fillId="5" borderId="22" xfId="53" applyFont="1" applyFill="1" applyBorder="1" applyAlignment="1" applyProtection="1">
      <alignment vertical="center"/>
      <protection hidden="1"/>
    </xf>
    <xf numFmtId="3" fontId="2" fillId="5" borderId="22" xfId="53" applyNumberFormat="1" applyFont="1" applyFill="1" applyBorder="1" applyAlignment="1" applyProtection="1">
      <alignment vertical="center"/>
      <protection locked="0"/>
    </xf>
    <xf numFmtId="0" fontId="3" fillId="5" borderId="0" xfId="53" applyFont="1" applyFill="1" applyAlignment="1" applyProtection="1">
      <alignment vertical="center"/>
      <protection locked="0"/>
    </xf>
    <xf numFmtId="0" fontId="2" fillId="5" borderId="0" xfId="53" applyFont="1" applyFill="1" applyAlignment="1" applyProtection="1">
      <alignment vertical="center"/>
      <protection locked="0"/>
    </xf>
    <xf numFmtId="0" fontId="7" fillId="5" borderId="21" xfId="53" applyFont="1" applyFill="1" applyBorder="1" applyAlignment="1" applyProtection="1">
      <alignment vertical="center"/>
      <protection hidden="1"/>
    </xf>
    <xf numFmtId="3" fontId="2" fillId="5" borderId="0" xfId="53" applyNumberFormat="1" applyFont="1" applyFill="1" applyAlignment="1" applyProtection="1">
      <alignment vertical="center"/>
      <protection locked="0"/>
    </xf>
    <xf numFmtId="0" fontId="13" fillId="17" borderId="17" xfId="53" applyFont="1" applyFill="1" applyBorder="1" applyAlignment="1" applyProtection="1">
      <alignment horizontal="left" vertical="center"/>
      <protection locked="0"/>
    </xf>
    <xf numFmtId="3" fontId="9" fillId="17" borderId="38" xfId="53" applyNumberFormat="1" applyFont="1" applyFill="1" applyBorder="1" applyAlignment="1" applyProtection="1">
      <alignment horizontal="center" vertical="center"/>
      <protection hidden="1"/>
    </xf>
    <xf numFmtId="3" fontId="9" fillId="0" borderId="17" xfId="53" applyNumberFormat="1" applyFont="1" applyFill="1" applyBorder="1" applyAlignment="1" applyProtection="1">
      <alignment horizontal="center" vertical="center"/>
      <protection hidden="1"/>
    </xf>
    <xf numFmtId="3" fontId="9" fillId="0" borderId="36" xfId="53" applyNumberFormat="1" applyFont="1" applyFill="1" applyBorder="1" applyAlignment="1" applyProtection="1">
      <alignment horizontal="center" vertical="center"/>
      <protection hidden="1"/>
    </xf>
    <xf numFmtId="3" fontId="9" fillId="0" borderId="22" xfId="53" applyNumberFormat="1" applyFont="1" applyFill="1" applyBorder="1" applyAlignment="1" applyProtection="1">
      <alignment horizontal="center" vertical="center"/>
      <protection hidden="1"/>
    </xf>
    <xf numFmtId="3" fontId="9" fillId="0" borderId="38" xfId="53" applyNumberFormat="1" applyFont="1" applyFill="1" applyBorder="1" applyAlignment="1" applyProtection="1">
      <alignment horizontal="center" vertical="center"/>
      <protection hidden="1"/>
    </xf>
    <xf numFmtId="3" fontId="9" fillId="0" borderId="37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center"/>
      <protection locked="0"/>
    </xf>
    <xf numFmtId="164" fontId="2" fillId="0" borderId="0" xfId="53" applyNumberFormat="1" applyFont="1" applyAlignment="1" applyProtection="1">
      <alignment vertical="center"/>
      <protection locked="0"/>
    </xf>
    <xf numFmtId="0" fontId="2" fillId="0" borderId="17" xfId="49" applyFont="1" applyFill="1" applyBorder="1" applyAlignment="1">
      <alignment horizontal="left" wrapText="1"/>
      <protection/>
    </xf>
    <xf numFmtId="0" fontId="2" fillId="17" borderId="0" xfId="53" applyFont="1" applyFill="1" applyAlignment="1" applyProtection="1">
      <alignment vertical="center"/>
      <protection locked="0"/>
    </xf>
    <xf numFmtId="164" fontId="2" fillId="17" borderId="0" xfId="53" applyNumberFormat="1" applyFont="1" applyFill="1" applyAlignment="1" applyProtection="1">
      <alignment vertical="center"/>
      <protection locked="0"/>
    </xf>
    <xf numFmtId="0" fontId="2" fillId="12" borderId="65" xfId="53" applyFont="1" applyFill="1" applyBorder="1" applyProtection="1">
      <alignment/>
      <protection locked="0"/>
    </xf>
    <xf numFmtId="0" fontId="2" fillId="12" borderId="17" xfId="53" applyFont="1" applyFill="1" applyBorder="1" applyAlignment="1" applyProtection="1">
      <alignment vertical="center" wrapText="1"/>
      <protection hidden="1" locked="0"/>
    </xf>
    <xf numFmtId="0" fontId="2" fillId="0" borderId="0" xfId="53" applyFont="1" applyAlignment="1" applyProtection="1">
      <alignment horizontal="left" vertical="center"/>
      <protection locked="0"/>
    </xf>
    <xf numFmtId="3" fontId="2" fillId="0" borderId="0" xfId="53" applyNumberFormat="1" applyFont="1" applyAlignment="1" applyProtection="1">
      <alignment vertical="center"/>
      <protection locked="0"/>
    </xf>
    <xf numFmtId="14" fontId="13" fillId="7" borderId="17" xfId="53" applyNumberFormat="1" applyFont="1" applyFill="1" applyBorder="1" applyAlignment="1" applyProtection="1">
      <alignment horizontal="left" vertical="center"/>
      <protection locked="0"/>
    </xf>
    <xf numFmtId="0" fontId="14" fillId="7" borderId="65" xfId="53" applyFont="1" applyFill="1" applyBorder="1" applyAlignment="1">
      <alignment vertical="center" wrapText="1"/>
      <protection/>
    </xf>
    <xf numFmtId="3" fontId="9" fillId="7" borderId="58" xfId="53" applyNumberFormat="1" applyFont="1" applyFill="1" applyBorder="1" applyAlignment="1" applyProtection="1">
      <alignment horizontal="center" vertical="center"/>
      <protection hidden="1"/>
    </xf>
    <xf numFmtId="3" fontId="9" fillId="7" borderId="36" xfId="53" applyNumberFormat="1" applyFont="1" applyFill="1" applyBorder="1" applyAlignment="1" applyProtection="1">
      <alignment horizontal="center" vertical="center"/>
      <protection hidden="1"/>
    </xf>
    <xf numFmtId="3" fontId="9" fillId="7" borderId="22" xfId="53" applyNumberFormat="1" applyFont="1" applyFill="1" applyBorder="1" applyAlignment="1" applyProtection="1">
      <alignment horizontal="center" vertical="center"/>
      <protection hidden="1"/>
    </xf>
    <xf numFmtId="3" fontId="9" fillId="7" borderId="34" xfId="53" applyNumberFormat="1" applyFont="1" applyFill="1" applyBorder="1" applyAlignment="1" applyProtection="1">
      <alignment horizontal="center" vertical="center"/>
      <protection hidden="1"/>
    </xf>
    <xf numFmtId="3" fontId="9" fillId="7" borderId="17" xfId="53" applyNumberFormat="1" applyFont="1" applyFill="1" applyBorder="1" applyAlignment="1" applyProtection="1">
      <alignment horizontal="center" vertical="center"/>
      <protection hidden="1"/>
    </xf>
    <xf numFmtId="3" fontId="5" fillId="7" borderId="34" xfId="53" applyNumberFormat="1" applyFont="1" applyFill="1" applyBorder="1" applyAlignment="1" applyProtection="1">
      <alignment horizontal="center" vertical="center"/>
      <protection hidden="1"/>
    </xf>
    <xf numFmtId="3" fontId="5" fillId="7" borderId="66" xfId="53" applyNumberFormat="1" applyFont="1" applyFill="1" applyBorder="1" applyAlignment="1" applyProtection="1">
      <alignment horizontal="center" vertical="center"/>
      <protection hidden="1"/>
    </xf>
    <xf numFmtId="0" fontId="10" fillId="7" borderId="17" xfId="53" applyFont="1" applyFill="1" applyBorder="1" applyAlignment="1" applyProtection="1">
      <alignment horizontal="left" vertical="center"/>
      <protection locked="0"/>
    </xf>
    <xf numFmtId="0" fontId="2" fillId="7" borderId="65" xfId="53" applyFont="1" applyFill="1" applyBorder="1" applyAlignment="1">
      <alignment vertical="center" wrapText="1"/>
      <protection/>
    </xf>
    <xf numFmtId="0" fontId="3" fillId="7" borderId="38" xfId="49" applyFont="1" applyFill="1" applyBorder="1" applyAlignment="1" applyProtection="1">
      <alignment vertical="center"/>
      <protection locked="0"/>
    </xf>
    <xf numFmtId="165" fontId="3" fillId="7" borderId="22" xfId="49" applyNumberFormat="1" applyFont="1" applyFill="1" applyBorder="1" applyAlignment="1" applyProtection="1">
      <alignment horizontal="right" vertical="center"/>
      <protection locked="0"/>
    </xf>
    <xf numFmtId="0" fontId="3" fillId="7" borderId="37" xfId="49" applyFont="1" applyFill="1" applyBorder="1" applyAlignment="1" applyProtection="1">
      <alignment vertical="center"/>
      <protection locked="0"/>
    </xf>
    <xf numFmtId="3" fontId="9" fillId="7" borderId="38" xfId="53" applyNumberFormat="1" applyFont="1" applyFill="1" applyBorder="1" applyAlignment="1" applyProtection="1">
      <alignment horizontal="center" vertical="center"/>
      <protection hidden="1"/>
    </xf>
    <xf numFmtId="3" fontId="9" fillId="7" borderId="37" xfId="53" applyNumberFormat="1" applyFont="1" applyFill="1" applyBorder="1" applyAlignment="1" applyProtection="1">
      <alignment horizontal="center" vertical="center"/>
      <protection hidden="1"/>
    </xf>
    <xf numFmtId="3" fontId="5" fillId="7" borderId="17" xfId="53" applyNumberFormat="1" applyFont="1" applyFill="1" applyBorder="1" applyAlignment="1" applyProtection="1">
      <alignment horizontal="center" vertical="center"/>
      <protection hidden="1"/>
    </xf>
    <xf numFmtId="0" fontId="3" fillId="7" borderId="38" xfId="53" applyFont="1" applyFill="1" applyBorder="1" applyAlignment="1" applyProtection="1">
      <alignment vertical="center"/>
      <protection locked="0"/>
    </xf>
    <xf numFmtId="165" fontId="3" fillId="7" borderId="22" xfId="53" applyNumberFormat="1" applyFont="1" applyFill="1" applyBorder="1" applyAlignment="1" applyProtection="1">
      <alignment horizontal="right" vertical="center"/>
      <protection locked="0"/>
    </xf>
    <xf numFmtId="0" fontId="3" fillId="7" borderId="37" xfId="53" applyFont="1" applyFill="1" applyBorder="1" applyAlignment="1" applyProtection="1">
      <alignment vertical="center"/>
      <protection locked="0"/>
    </xf>
    <xf numFmtId="165" fontId="3" fillId="7" borderId="38" xfId="53" applyNumberFormat="1" applyFont="1" applyFill="1" applyBorder="1" applyAlignment="1" applyProtection="1">
      <alignment horizontal="right" vertical="center"/>
      <protection locked="0"/>
    </xf>
    <xf numFmtId="165" fontId="3" fillId="7" borderId="37" xfId="53" applyNumberFormat="1" applyFont="1" applyFill="1" applyBorder="1" applyAlignment="1" applyProtection="1">
      <alignment horizontal="right" vertical="center"/>
      <protection locked="0"/>
    </xf>
    <xf numFmtId="0" fontId="2" fillId="7" borderId="17" xfId="53" applyFont="1" applyFill="1" applyBorder="1" applyAlignment="1">
      <alignment horizontal="center"/>
      <protection/>
    </xf>
    <xf numFmtId="3" fontId="9" fillId="4" borderId="22" xfId="53" applyNumberFormat="1" applyFont="1" applyFill="1" applyBorder="1" applyAlignment="1" applyProtection="1">
      <alignment horizontal="center" vertical="center"/>
      <protection hidden="1"/>
    </xf>
    <xf numFmtId="3" fontId="9" fillId="4" borderId="34" xfId="53" applyNumberFormat="1" applyFont="1" applyFill="1" applyBorder="1" applyAlignment="1" applyProtection="1">
      <alignment horizontal="center" vertical="center"/>
      <protection hidden="1"/>
    </xf>
    <xf numFmtId="3" fontId="9" fillId="4" borderId="17" xfId="53" applyNumberFormat="1" applyFont="1" applyFill="1" applyBorder="1" applyAlignment="1" applyProtection="1">
      <alignment horizontal="center" vertical="center"/>
      <protection hidden="1"/>
    </xf>
    <xf numFmtId="3" fontId="9" fillId="4" borderId="38" xfId="53" applyNumberFormat="1" applyFont="1" applyFill="1" applyBorder="1" applyAlignment="1" applyProtection="1">
      <alignment horizontal="center" vertical="center"/>
      <protection hidden="1"/>
    </xf>
    <xf numFmtId="3" fontId="9" fillId="4" borderId="37" xfId="53" applyNumberFormat="1" applyFont="1" applyFill="1" applyBorder="1" applyAlignment="1" applyProtection="1">
      <alignment horizontal="center" vertical="center"/>
      <protection hidden="1"/>
    </xf>
    <xf numFmtId="3" fontId="5" fillId="4" borderId="34" xfId="53" applyNumberFormat="1" applyFont="1" applyFill="1" applyBorder="1" applyAlignment="1" applyProtection="1">
      <alignment horizontal="center" vertical="center"/>
      <protection hidden="1"/>
    </xf>
    <xf numFmtId="3" fontId="5" fillId="4" borderId="17" xfId="53" applyNumberFormat="1" applyFont="1" applyFill="1" applyBorder="1" applyAlignment="1" applyProtection="1">
      <alignment horizontal="center" vertical="center"/>
      <protection hidden="1"/>
    </xf>
    <xf numFmtId="0" fontId="13" fillId="8" borderId="17" xfId="53" applyFont="1" applyFill="1" applyBorder="1" applyAlignment="1" applyProtection="1">
      <alignment horizontal="left" vertical="center"/>
      <protection locked="0"/>
    </xf>
    <xf numFmtId="0" fontId="14" fillId="8" borderId="65" xfId="53" applyFont="1" applyFill="1" applyBorder="1" applyAlignment="1">
      <alignment vertical="center" wrapText="1"/>
      <protection/>
    </xf>
    <xf numFmtId="3" fontId="9" fillId="8" borderId="58" xfId="53" applyNumberFormat="1" applyFont="1" applyFill="1" applyBorder="1" applyAlignment="1" applyProtection="1">
      <alignment horizontal="center" vertical="center"/>
      <protection hidden="1"/>
    </xf>
    <xf numFmtId="164" fontId="9" fillId="8" borderId="59" xfId="53" applyNumberFormat="1" applyFont="1" applyFill="1" applyBorder="1" applyAlignment="1" applyProtection="1">
      <alignment horizontal="center" vertical="center"/>
      <protection hidden="1"/>
    </xf>
    <xf numFmtId="3" fontId="9" fillId="8" borderId="36" xfId="53" applyNumberFormat="1" applyFont="1" applyFill="1" applyBorder="1" applyAlignment="1" applyProtection="1">
      <alignment horizontal="center" vertical="center"/>
      <protection hidden="1"/>
    </xf>
    <xf numFmtId="3" fontId="9" fillId="8" borderId="22" xfId="53" applyNumberFormat="1" applyFont="1" applyFill="1" applyBorder="1" applyAlignment="1" applyProtection="1">
      <alignment horizontal="center" vertical="center"/>
      <protection hidden="1"/>
    </xf>
    <xf numFmtId="3" fontId="9" fillId="8" borderId="34" xfId="53" applyNumberFormat="1" applyFont="1" applyFill="1" applyBorder="1" applyAlignment="1" applyProtection="1">
      <alignment horizontal="center" vertical="center"/>
      <protection hidden="1"/>
    </xf>
    <xf numFmtId="3" fontId="9" fillId="8" borderId="17" xfId="53" applyNumberFormat="1" applyFont="1" applyFill="1" applyBorder="1" applyAlignment="1" applyProtection="1">
      <alignment horizontal="center" vertical="center"/>
      <protection hidden="1"/>
    </xf>
    <xf numFmtId="3" fontId="9" fillId="8" borderId="38" xfId="53" applyNumberFormat="1" applyFont="1" applyFill="1" applyBorder="1" applyAlignment="1" applyProtection="1">
      <alignment horizontal="center" vertical="center"/>
      <protection hidden="1"/>
    </xf>
    <xf numFmtId="0" fontId="10" fillId="8" borderId="17" xfId="53" applyFont="1" applyFill="1" applyBorder="1" applyAlignment="1" applyProtection="1">
      <alignment horizontal="left" vertical="center"/>
      <protection locked="0"/>
    </xf>
    <xf numFmtId="0" fontId="2" fillId="8" borderId="65" xfId="53" applyFont="1" applyFill="1" applyBorder="1" applyAlignment="1" applyProtection="1">
      <alignment vertical="center" wrapText="1"/>
      <protection hidden="1" locked="0"/>
    </xf>
    <xf numFmtId="3" fontId="9" fillId="8" borderId="37" xfId="53" applyNumberFormat="1" applyFont="1" applyFill="1" applyBorder="1" applyAlignment="1" applyProtection="1">
      <alignment horizontal="center" vertical="center"/>
      <protection hidden="1"/>
    </xf>
    <xf numFmtId="3" fontId="5" fillId="8" borderId="34" xfId="53" applyNumberFormat="1" applyFont="1" applyFill="1" applyBorder="1" applyAlignment="1" applyProtection="1">
      <alignment horizontal="center" vertical="center"/>
      <protection hidden="1"/>
    </xf>
    <xf numFmtId="3" fontId="5" fillId="8" borderId="17" xfId="53" applyNumberFormat="1" applyFont="1" applyFill="1" applyBorder="1" applyAlignment="1" applyProtection="1">
      <alignment horizontal="center" vertical="center"/>
      <protection hidden="1"/>
    </xf>
    <xf numFmtId="0" fontId="13" fillId="4" borderId="17" xfId="53" applyFont="1" applyFill="1" applyBorder="1" applyAlignment="1" applyProtection="1">
      <alignment horizontal="left" vertical="center"/>
      <protection locked="0"/>
    </xf>
    <xf numFmtId="0" fontId="14" fillId="4" borderId="65" xfId="53" applyFont="1" applyFill="1" applyBorder="1" applyAlignment="1">
      <alignment vertical="center" wrapText="1"/>
      <protection/>
    </xf>
    <xf numFmtId="3" fontId="9" fillId="4" borderId="58" xfId="53" applyNumberFormat="1" applyFont="1" applyFill="1" applyBorder="1" applyAlignment="1" applyProtection="1">
      <alignment horizontal="center" vertical="center"/>
      <protection hidden="1"/>
    </xf>
    <xf numFmtId="164" fontId="9" fillId="4" borderId="59" xfId="53" applyNumberFormat="1" applyFont="1" applyFill="1" applyBorder="1" applyAlignment="1" applyProtection="1">
      <alignment horizontal="center" vertical="center"/>
      <protection hidden="1"/>
    </xf>
    <xf numFmtId="3" fontId="9" fillId="4" borderId="36" xfId="53" applyNumberFormat="1" applyFont="1" applyFill="1" applyBorder="1" applyAlignment="1" applyProtection="1">
      <alignment horizontal="center" vertical="center"/>
      <protection hidden="1"/>
    </xf>
    <xf numFmtId="0" fontId="10" fillId="4" borderId="17" xfId="53" applyFont="1" applyFill="1" applyBorder="1" applyAlignment="1" applyProtection="1">
      <alignment horizontal="left" vertical="center"/>
      <protection locked="0"/>
    </xf>
    <xf numFmtId="0" fontId="13" fillId="2" borderId="17" xfId="53" applyFont="1" applyFill="1" applyBorder="1" applyAlignment="1" applyProtection="1">
      <alignment horizontal="left" vertical="center"/>
      <protection locked="0"/>
    </xf>
    <xf numFmtId="0" fontId="14" fillId="2" borderId="65" xfId="53" applyFont="1" applyFill="1" applyBorder="1" applyAlignment="1">
      <alignment vertical="center" wrapText="1"/>
      <protection/>
    </xf>
    <xf numFmtId="164" fontId="9" fillId="2" borderId="59" xfId="53" applyNumberFormat="1" applyFont="1" applyFill="1" applyBorder="1" applyAlignment="1" applyProtection="1">
      <alignment horizontal="center" vertical="center"/>
      <protection hidden="1"/>
    </xf>
    <xf numFmtId="3" fontId="9" fillId="2" borderId="36" xfId="53" applyNumberFormat="1" applyFont="1" applyFill="1" applyBorder="1" applyAlignment="1" applyProtection="1">
      <alignment horizontal="center" vertical="center"/>
      <protection hidden="1"/>
    </xf>
    <xf numFmtId="3" fontId="9" fillId="2" borderId="22" xfId="53" applyNumberFormat="1" applyFont="1" applyFill="1" applyBorder="1" applyAlignment="1" applyProtection="1">
      <alignment horizontal="center" vertical="center"/>
      <protection hidden="1"/>
    </xf>
    <xf numFmtId="3" fontId="9" fillId="2" borderId="34" xfId="53" applyNumberFormat="1" applyFont="1" applyFill="1" applyBorder="1" applyAlignment="1" applyProtection="1">
      <alignment horizontal="center" vertical="center"/>
      <protection hidden="1"/>
    </xf>
    <xf numFmtId="3" fontId="9" fillId="2" borderId="17" xfId="53" applyNumberFormat="1" applyFont="1" applyFill="1" applyBorder="1" applyAlignment="1" applyProtection="1">
      <alignment horizontal="center" vertical="center"/>
      <protection hidden="1"/>
    </xf>
    <xf numFmtId="3" fontId="9" fillId="2" borderId="38" xfId="53" applyNumberFormat="1" applyFont="1" applyFill="1" applyBorder="1" applyAlignment="1" applyProtection="1">
      <alignment horizontal="center" vertical="center"/>
      <protection hidden="1"/>
    </xf>
    <xf numFmtId="0" fontId="13" fillId="3" borderId="17" xfId="53" applyFont="1" applyFill="1" applyBorder="1" applyAlignment="1" applyProtection="1">
      <alignment horizontal="left" vertical="center"/>
      <protection locked="0"/>
    </xf>
    <xf numFmtId="0" fontId="14" fillId="3" borderId="65" xfId="53" applyFont="1" applyFill="1" applyBorder="1" applyAlignment="1">
      <alignment vertical="center" wrapText="1"/>
      <protection/>
    </xf>
    <xf numFmtId="3" fontId="9" fillId="3" borderId="58" xfId="53" applyNumberFormat="1" applyFont="1" applyFill="1" applyBorder="1" applyAlignment="1" applyProtection="1">
      <alignment horizontal="center" vertical="center"/>
      <protection hidden="1"/>
    </xf>
    <xf numFmtId="164" fontId="9" fillId="3" borderId="59" xfId="53" applyNumberFormat="1" applyFont="1" applyFill="1" applyBorder="1" applyAlignment="1" applyProtection="1">
      <alignment horizontal="center" vertical="center"/>
      <protection hidden="1"/>
    </xf>
    <xf numFmtId="3" fontId="9" fillId="3" borderId="36" xfId="53" applyNumberFormat="1" applyFont="1" applyFill="1" applyBorder="1" applyAlignment="1" applyProtection="1">
      <alignment horizontal="center" vertical="center"/>
      <protection hidden="1"/>
    </xf>
    <xf numFmtId="3" fontId="9" fillId="3" borderId="22" xfId="53" applyNumberFormat="1" applyFont="1" applyFill="1" applyBorder="1" applyAlignment="1" applyProtection="1">
      <alignment horizontal="center" vertical="center"/>
      <protection hidden="1"/>
    </xf>
    <xf numFmtId="3" fontId="9" fillId="3" borderId="34" xfId="53" applyNumberFormat="1" applyFont="1" applyFill="1" applyBorder="1" applyAlignment="1" applyProtection="1">
      <alignment horizontal="center" vertical="center"/>
      <protection hidden="1"/>
    </xf>
    <xf numFmtId="3" fontId="9" fillId="3" borderId="17" xfId="53" applyNumberFormat="1" applyFont="1" applyFill="1" applyBorder="1" applyAlignment="1" applyProtection="1">
      <alignment horizontal="center" vertical="center"/>
      <protection hidden="1"/>
    </xf>
    <xf numFmtId="3" fontId="9" fillId="3" borderId="38" xfId="53" applyNumberFormat="1" applyFont="1" applyFill="1" applyBorder="1" applyAlignment="1" applyProtection="1">
      <alignment horizontal="center" vertical="center"/>
      <protection hidden="1"/>
    </xf>
    <xf numFmtId="0" fontId="10" fillId="3" borderId="17" xfId="53" applyFont="1" applyFill="1" applyBorder="1" applyAlignment="1" applyProtection="1">
      <alignment horizontal="left" vertical="center"/>
      <protection locked="0"/>
    </xf>
    <xf numFmtId="0" fontId="2" fillId="3" borderId="66" xfId="53" applyFont="1" applyFill="1" applyBorder="1" applyAlignment="1">
      <alignment horizontal="justify" vertical="center"/>
      <protection/>
    </xf>
    <xf numFmtId="3" fontId="9" fillId="3" borderId="37" xfId="53" applyNumberFormat="1" applyFont="1" applyFill="1" applyBorder="1" applyAlignment="1" applyProtection="1">
      <alignment horizontal="center" vertical="center"/>
      <protection hidden="1"/>
    </xf>
    <xf numFmtId="3" fontId="5" fillId="3" borderId="34" xfId="53" applyNumberFormat="1" applyFont="1" applyFill="1" applyBorder="1" applyAlignment="1" applyProtection="1">
      <alignment horizontal="center" vertical="center"/>
      <protection hidden="1"/>
    </xf>
    <xf numFmtId="3" fontId="5" fillId="3" borderId="17" xfId="53" applyNumberFormat="1" applyFont="1" applyFill="1" applyBorder="1" applyAlignment="1" applyProtection="1">
      <alignment horizontal="center" vertical="center"/>
      <protection hidden="1"/>
    </xf>
    <xf numFmtId="0" fontId="2" fillId="4" borderId="17" xfId="53" applyFont="1" applyFill="1" applyBorder="1" applyAlignment="1" applyProtection="1">
      <alignment vertical="center" wrapText="1"/>
      <protection hidden="1" locked="0"/>
    </xf>
    <xf numFmtId="165" fontId="3" fillId="4" borderId="38" xfId="53" applyNumberFormat="1" applyFont="1" applyFill="1" applyBorder="1" applyAlignment="1" applyProtection="1">
      <alignment horizontal="right" vertical="center"/>
      <protection locked="0"/>
    </xf>
    <xf numFmtId="165" fontId="3" fillId="4" borderId="22" xfId="53" applyNumberFormat="1" applyFont="1" applyFill="1" applyBorder="1" applyAlignment="1" applyProtection="1">
      <alignment horizontal="right" vertical="center"/>
      <protection locked="0"/>
    </xf>
    <xf numFmtId="165" fontId="3" fillId="4" borderId="37" xfId="53" applyNumberFormat="1" applyFont="1" applyFill="1" applyBorder="1" applyAlignment="1" applyProtection="1">
      <alignment horizontal="right" vertical="center"/>
      <protection locked="0"/>
    </xf>
    <xf numFmtId="0" fontId="2" fillId="4" borderId="65" xfId="53" applyFont="1" applyFill="1" applyBorder="1" applyAlignment="1" applyProtection="1">
      <alignment vertical="center" wrapText="1"/>
      <protection hidden="1" locked="0"/>
    </xf>
    <xf numFmtId="0" fontId="3" fillId="4" borderId="0" xfId="53" applyFont="1" applyFill="1" applyAlignment="1" applyProtection="1">
      <alignment vertical="center"/>
      <protection locked="0"/>
    </xf>
    <xf numFmtId="0" fontId="2" fillId="2" borderId="65" xfId="53" applyFont="1" applyFill="1" applyBorder="1" applyAlignment="1" applyProtection="1">
      <alignment vertical="center" wrapText="1"/>
      <protection hidden="1" locked="0"/>
    </xf>
    <xf numFmtId="0" fontId="13" fillId="5" borderId="17" xfId="53" applyFont="1" applyFill="1" applyBorder="1" applyAlignment="1" applyProtection="1">
      <alignment horizontal="left" vertical="center"/>
      <protection locked="0"/>
    </xf>
    <xf numFmtId="0" fontId="14" fillId="5" borderId="65" xfId="53" applyFont="1" applyFill="1" applyBorder="1" applyAlignment="1">
      <alignment vertical="center" wrapText="1"/>
      <protection/>
    </xf>
    <xf numFmtId="3" fontId="9" fillId="5" borderId="58" xfId="53" applyNumberFormat="1" applyFont="1" applyFill="1" applyBorder="1" applyAlignment="1" applyProtection="1">
      <alignment horizontal="center" vertical="center"/>
      <protection hidden="1"/>
    </xf>
    <xf numFmtId="164" fontId="9" fillId="5" borderId="59" xfId="53" applyNumberFormat="1" applyFont="1" applyFill="1" applyBorder="1" applyAlignment="1" applyProtection="1">
      <alignment horizontal="center" vertical="center"/>
      <protection hidden="1"/>
    </xf>
    <xf numFmtId="3" fontId="9" fillId="5" borderId="36" xfId="53" applyNumberFormat="1" applyFont="1" applyFill="1" applyBorder="1" applyAlignment="1" applyProtection="1">
      <alignment horizontal="center" vertical="center"/>
      <protection hidden="1"/>
    </xf>
    <xf numFmtId="3" fontId="9" fillId="5" borderId="22" xfId="53" applyNumberFormat="1" applyFont="1" applyFill="1" applyBorder="1" applyAlignment="1" applyProtection="1">
      <alignment horizontal="center" vertical="center"/>
      <protection hidden="1"/>
    </xf>
    <xf numFmtId="3" fontId="9" fillId="5" borderId="17" xfId="53" applyNumberFormat="1" applyFont="1" applyFill="1" applyBorder="1" applyAlignment="1" applyProtection="1">
      <alignment horizontal="center" vertical="center"/>
      <protection hidden="1"/>
    </xf>
    <xf numFmtId="0" fontId="10" fillId="5" borderId="17" xfId="53" applyFont="1" applyFill="1" applyBorder="1" applyAlignment="1" applyProtection="1">
      <alignment horizontal="left" vertical="center"/>
      <protection locked="0"/>
    </xf>
    <xf numFmtId="0" fontId="2" fillId="5" borderId="65" xfId="53" applyFont="1" applyFill="1" applyBorder="1" applyAlignment="1">
      <alignment vertical="center" wrapText="1"/>
      <protection/>
    </xf>
    <xf numFmtId="0" fontId="3" fillId="5" borderId="38" xfId="53" applyFont="1" applyFill="1" applyBorder="1" applyAlignment="1">
      <alignment horizontal="center" vertical="center" wrapText="1"/>
      <protection/>
    </xf>
    <xf numFmtId="0" fontId="3" fillId="5" borderId="22" xfId="53" applyFont="1" applyFill="1" applyBorder="1" applyAlignment="1">
      <alignment horizontal="center" vertical="center" wrapText="1"/>
      <protection/>
    </xf>
    <xf numFmtId="0" fontId="3" fillId="5" borderId="37" xfId="53" applyFont="1" applyFill="1" applyBorder="1" applyAlignment="1">
      <alignment horizontal="center" vertical="center" wrapText="1"/>
      <protection/>
    </xf>
    <xf numFmtId="3" fontId="5" fillId="5" borderId="34" xfId="53" applyNumberFormat="1" applyFont="1" applyFill="1" applyBorder="1" applyAlignment="1" applyProtection="1">
      <alignment horizontal="center" vertical="center"/>
      <protection hidden="1"/>
    </xf>
    <xf numFmtId="0" fontId="2" fillId="5" borderId="17" xfId="53" applyFont="1" applyFill="1" applyBorder="1" applyAlignment="1" applyProtection="1">
      <alignment horizontal="center" vertical="center"/>
      <protection locked="0"/>
    </xf>
    <xf numFmtId="3" fontId="9" fillId="5" borderId="37" xfId="53" applyNumberFormat="1" applyFont="1" applyFill="1" applyBorder="1" applyAlignment="1" applyProtection="1">
      <alignment horizontal="center" vertical="center"/>
      <protection hidden="1"/>
    </xf>
    <xf numFmtId="0" fontId="2" fillId="5" borderId="67" xfId="53" applyFont="1" applyFill="1" applyBorder="1" applyAlignment="1" applyProtection="1">
      <alignment vertical="center" wrapText="1"/>
      <protection hidden="1" locked="0"/>
    </xf>
    <xf numFmtId="0" fontId="3" fillId="5" borderId="38" xfId="53" applyFont="1" applyFill="1" applyBorder="1" applyAlignment="1" applyProtection="1">
      <alignment vertical="center"/>
      <protection locked="0"/>
    </xf>
    <xf numFmtId="165" fontId="3" fillId="5" borderId="22" xfId="53" applyNumberFormat="1" applyFont="1" applyFill="1" applyBorder="1" applyAlignment="1" applyProtection="1">
      <alignment horizontal="right" vertical="center"/>
      <protection locked="0"/>
    </xf>
    <xf numFmtId="2" fontId="3" fillId="5" borderId="22" xfId="53" applyNumberFormat="1" applyFont="1" applyFill="1" applyBorder="1" applyAlignment="1" applyProtection="1">
      <alignment horizontal="center" vertical="center"/>
      <protection locked="0"/>
    </xf>
    <xf numFmtId="2" fontId="3" fillId="5" borderId="37" xfId="53" applyNumberFormat="1" applyFont="1" applyFill="1" applyBorder="1" applyAlignment="1" applyProtection="1">
      <alignment horizontal="center" vertical="center"/>
      <protection locked="0"/>
    </xf>
    <xf numFmtId="166" fontId="2" fillId="5" borderId="17" xfId="53" applyNumberFormat="1" applyFont="1" applyFill="1" applyBorder="1" applyAlignment="1">
      <alignment horizontal="center" vertical="center"/>
      <protection/>
    </xf>
    <xf numFmtId="0" fontId="2" fillId="5" borderId="65" xfId="53" applyFont="1" applyFill="1" applyBorder="1" applyAlignment="1" applyProtection="1">
      <alignment vertical="center" wrapText="1"/>
      <protection hidden="1" locked="0"/>
    </xf>
    <xf numFmtId="0" fontId="3" fillId="5" borderId="37" xfId="53" applyFont="1" applyFill="1" applyBorder="1" applyAlignment="1" applyProtection="1">
      <alignment vertical="center"/>
      <protection locked="0"/>
    </xf>
    <xf numFmtId="0" fontId="2" fillId="5" borderId="17" xfId="53" applyFont="1" applyFill="1" applyBorder="1" applyAlignment="1">
      <alignment horizontal="center" vertical="center"/>
      <protection/>
    </xf>
    <xf numFmtId="164" fontId="2" fillId="5" borderId="0" xfId="53" applyNumberFormat="1" applyFont="1" applyFill="1" applyAlignment="1" applyProtection="1">
      <alignment vertical="center"/>
      <protection locked="0"/>
    </xf>
    <xf numFmtId="0" fontId="2" fillId="5" borderId="22" xfId="53" applyFont="1" applyFill="1" applyBorder="1" applyAlignment="1" applyProtection="1">
      <alignment vertical="center" wrapText="1"/>
      <protection hidden="1" locked="0"/>
    </xf>
    <xf numFmtId="0" fontId="2" fillId="5" borderId="17" xfId="49" applyFont="1" applyFill="1" applyBorder="1" applyAlignment="1">
      <alignment horizontal="left" wrapText="1"/>
      <protection/>
    </xf>
    <xf numFmtId="165" fontId="3" fillId="5" borderId="38" xfId="53" applyNumberFormat="1" applyFont="1" applyFill="1" applyBorder="1" applyAlignment="1" applyProtection="1">
      <alignment horizontal="right" vertical="center"/>
      <protection locked="0"/>
    </xf>
    <xf numFmtId="165" fontId="3" fillId="5" borderId="37" xfId="53" applyNumberFormat="1" applyFont="1" applyFill="1" applyBorder="1" applyAlignment="1" applyProtection="1">
      <alignment horizontal="right" vertical="center"/>
      <protection locked="0"/>
    </xf>
    <xf numFmtId="0" fontId="2" fillId="5" borderId="66" xfId="53" applyFont="1" applyFill="1" applyBorder="1" applyAlignment="1" applyProtection="1">
      <alignment horizontal="center" vertical="center"/>
      <protection locked="0"/>
    </xf>
    <xf numFmtId="0" fontId="2" fillId="5" borderId="65" xfId="49" applyFont="1" applyFill="1" applyBorder="1" applyAlignment="1">
      <alignment horizontal="left" wrapText="1"/>
      <protection/>
    </xf>
    <xf numFmtId="3" fontId="13" fillId="4" borderId="17" xfId="53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justify"/>
    </xf>
    <xf numFmtId="2" fontId="34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" fillId="4" borderId="0" xfId="53" applyFont="1" applyFill="1" applyAlignment="1" applyProtection="1">
      <alignment vertical="center"/>
      <protection locked="0"/>
    </xf>
    <xf numFmtId="164" fontId="2" fillId="4" borderId="0" xfId="53" applyNumberFormat="1" applyFont="1" applyFill="1" applyAlignment="1" applyProtection="1">
      <alignment vertical="center"/>
      <protection locked="0"/>
    </xf>
    <xf numFmtId="3" fontId="5" fillId="4" borderId="22" xfId="53" applyNumberFormat="1" applyFont="1" applyFill="1" applyBorder="1" applyAlignment="1" applyProtection="1">
      <alignment horizontal="center" vertical="center"/>
      <protection hidden="1"/>
    </xf>
    <xf numFmtId="0" fontId="2" fillId="4" borderId="22" xfId="53" applyFont="1" applyFill="1" applyBorder="1" applyAlignment="1" applyProtection="1">
      <alignment vertical="center"/>
      <protection locked="0"/>
    </xf>
    <xf numFmtId="14" fontId="8" fillId="18" borderId="17" xfId="53" applyNumberFormat="1" applyFont="1" applyFill="1" applyBorder="1" applyAlignment="1" applyProtection="1">
      <alignment horizontal="left" vertical="center"/>
      <protection locked="0"/>
    </xf>
    <xf numFmtId="0" fontId="14" fillId="18" borderId="65" xfId="53" applyFont="1" applyFill="1" applyBorder="1" applyAlignment="1">
      <alignment vertical="center" wrapText="1"/>
      <protection/>
    </xf>
    <xf numFmtId="0" fontId="15" fillId="18" borderId="65" xfId="53" applyFont="1" applyFill="1" applyBorder="1" applyAlignment="1">
      <alignment vertical="center" wrapText="1"/>
      <protection/>
    </xf>
    <xf numFmtId="0" fontId="2" fillId="5" borderId="34" xfId="53" applyFont="1" applyFill="1" applyBorder="1" applyAlignment="1" applyProtection="1">
      <alignment horizontal="center" vertical="center"/>
      <protection locked="0"/>
    </xf>
    <xf numFmtId="166" fontId="2" fillId="5" borderId="34" xfId="53" applyNumberFormat="1" applyFont="1" applyFill="1" applyBorder="1" applyAlignment="1">
      <alignment horizontal="center" vertical="center"/>
      <protection/>
    </xf>
    <xf numFmtId="0" fontId="2" fillId="5" borderId="34" xfId="53" applyFont="1" applyFill="1" applyBorder="1" applyAlignment="1">
      <alignment horizontal="center" vertical="center"/>
      <protection/>
    </xf>
    <xf numFmtId="3" fontId="13" fillId="4" borderId="34" xfId="53" applyNumberFormat="1" applyFont="1" applyFill="1" applyBorder="1" applyAlignment="1" applyProtection="1">
      <alignment horizontal="left" vertical="center"/>
      <protection locked="0"/>
    </xf>
    <xf numFmtId="3" fontId="5" fillId="4" borderId="64" xfId="53" applyNumberFormat="1" applyFont="1" applyFill="1" applyBorder="1" applyAlignment="1" applyProtection="1">
      <alignment horizontal="center" vertical="center"/>
      <protection hidden="1"/>
    </xf>
    <xf numFmtId="0" fontId="2" fillId="4" borderId="64" xfId="53" applyFont="1" applyFill="1" applyBorder="1" applyAlignment="1" applyProtection="1">
      <alignment vertical="center"/>
      <protection locked="0"/>
    </xf>
    <xf numFmtId="3" fontId="9" fillId="4" borderId="64" xfId="53" applyNumberFormat="1" applyFont="1" applyFill="1" applyBorder="1" applyAlignment="1" applyProtection="1">
      <alignment horizontal="center" vertical="center"/>
      <protection hidden="1"/>
    </xf>
    <xf numFmtId="0" fontId="4" fillId="18" borderId="21" xfId="53" applyFont="1" applyFill="1" applyBorder="1" applyAlignment="1" applyProtection="1">
      <alignment vertical="center"/>
      <protection hidden="1"/>
    </xf>
    <xf numFmtId="0" fontId="14" fillId="18" borderId="68" xfId="53" applyFont="1" applyFill="1" applyBorder="1" applyAlignment="1">
      <alignment vertical="center" wrapText="1"/>
      <protection/>
    </xf>
    <xf numFmtId="0" fontId="15" fillId="18" borderId="68" xfId="53" applyFont="1" applyFill="1" applyBorder="1" applyAlignment="1">
      <alignment vertical="center" wrapText="1"/>
      <protection/>
    </xf>
    <xf numFmtId="0" fontId="6" fillId="0" borderId="69" xfId="53" applyFont="1" applyBorder="1" applyAlignment="1" applyProtection="1">
      <alignment horizontal="left" vertical="center"/>
      <protection hidden="1"/>
    </xf>
    <xf numFmtId="164" fontId="7" fillId="7" borderId="70" xfId="53" applyNumberFormat="1" applyFont="1" applyFill="1" applyBorder="1" applyAlignment="1" applyProtection="1">
      <alignment horizontal="center" vertical="justify"/>
      <protection hidden="1"/>
    </xf>
    <xf numFmtId="0" fontId="6" fillId="0" borderId="71" xfId="53" applyFont="1" applyBorder="1" applyAlignment="1" applyProtection="1">
      <alignment horizontal="left" vertical="center"/>
      <protection hidden="1"/>
    </xf>
    <xf numFmtId="0" fontId="8" fillId="0" borderId="72" xfId="53" applyFont="1" applyBorder="1" applyAlignment="1" applyProtection="1">
      <alignment horizontal="center" vertical="center"/>
      <protection hidden="1"/>
    </xf>
    <xf numFmtId="0" fontId="8" fillId="0" borderId="73" xfId="53" applyFont="1" applyBorder="1" applyAlignment="1" applyProtection="1">
      <alignment horizontal="center" vertical="center"/>
      <protection hidden="1"/>
    </xf>
    <xf numFmtId="0" fontId="7" fillId="0" borderId="74" xfId="53" applyFont="1" applyBorder="1" applyAlignment="1" applyProtection="1">
      <alignment horizontal="center" vertical="center" wrapText="1"/>
      <protection hidden="1"/>
    </xf>
    <xf numFmtId="0" fontId="7" fillId="0" borderId="28" xfId="53" applyFont="1" applyBorder="1" applyAlignment="1" applyProtection="1">
      <alignment horizontal="left" vertical="center"/>
      <protection/>
    </xf>
    <xf numFmtId="165" fontId="5" fillId="0" borderId="75" xfId="53" applyNumberFormat="1" applyFont="1" applyBorder="1" applyAlignment="1" applyProtection="1">
      <alignment horizontal="center" vertical="center"/>
      <protection hidden="1"/>
    </xf>
    <xf numFmtId="165" fontId="9" fillId="0" borderId="30" xfId="53" applyNumberFormat="1" applyFont="1" applyBorder="1" applyAlignment="1" applyProtection="1">
      <alignment horizontal="center" vertical="center"/>
      <protection hidden="1"/>
    </xf>
    <xf numFmtId="165" fontId="9" fillId="0" borderId="76" xfId="53" applyNumberFormat="1" applyFont="1" applyBorder="1" applyAlignment="1" applyProtection="1">
      <alignment horizontal="center" vertical="center"/>
      <protection hidden="1"/>
    </xf>
    <xf numFmtId="3" fontId="5" fillId="7" borderId="77" xfId="53" applyNumberFormat="1" applyFont="1" applyFill="1" applyBorder="1" applyAlignment="1" applyProtection="1">
      <alignment horizontal="center" vertical="center"/>
      <protection hidden="1"/>
    </xf>
    <xf numFmtId="16" fontId="6" fillId="0" borderId="34" xfId="53" applyNumberFormat="1" applyFont="1" applyBorder="1" applyAlignment="1" applyProtection="1" quotePrefix="1">
      <alignment horizontal="left" vertical="center"/>
      <protection hidden="1"/>
    </xf>
    <xf numFmtId="165" fontId="2" fillId="0" borderId="66" xfId="53" applyNumberFormat="1" applyFont="1" applyBorder="1" applyAlignment="1" applyProtection="1">
      <alignment horizontal="center" vertical="center"/>
      <protection locked="0"/>
    </xf>
    <xf numFmtId="165" fontId="3" fillId="0" borderId="36" xfId="53" applyNumberFormat="1" applyFont="1" applyBorder="1" applyAlignment="1" applyProtection="1">
      <alignment horizontal="center" vertical="center"/>
      <protection hidden="1"/>
    </xf>
    <xf numFmtId="165" fontId="3" fillId="0" borderId="64" xfId="53" applyNumberFormat="1" applyFont="1" applyBorder="1" applyAlignment="1" applyProtection="1">
      <alignment horizontal="center" vertical="center"/>
      <protection hidden="1"/>
    </xf>
    <xf numFmtId="3" fontId="2" fillId="7" borderId="65" xfId="53" applyNumberFormat="1" applyFont="1" applyFill="1" applyBorder="1" applyAlignment="1" applyProtection="1">
      <alignment horizontal="center" vertical="center"/>
      <protection hidden="1"/>
    </xf>
    <xf numFmtId="165" fontId="2" fillId="0" borderId="78" xfId="53" applyNumberFormat="1" applyFont="1" applyBorder="1" applyAlignment="1" applyProtection="1">
      <alignment horizontal="center" vertical="center"/>
      <protection locked="0"/>
    </xf>
    <xf numFmtId="165" fontId="3" fillId="0" borderId="79" xfId="53" applyNumberFormat="1" applyFont="1" applyBorder="1" applyAlignment="1" applyProtection="1">
      <alignment horizontal="center" vertical="center"/>
      <protection hidden="1"/>
    </xf>
    <xf numFmtId="165" fontId="3" fillId="0" borderId="80" xfId="53" applyNumberFormat="1" applyFont="1" applyBorder="1" applyAlignment="1" applyProtection="1">
      <alignment horizontal="center" vertical="center"/>
      <protection hidden="1"/>
    </xf>
    <xf numFmtId="0" fontId="7" fillId="0" borderId="44" xfId="53" applyFont="1" applyBorder="1" applyAlignment="1" applyProtection="1">
      <alignment horizontal="left" vertical="center"/>
      <protection locked="0"/>
    </xf>
    <xf numFmtId="0" fontId="7" fillId="0" borderId="19" xfId="53" applyFont="1" applyBorder="1" applyAlignment="1" applyProtection="1">
      <alignment vertical="center"/>
      <protection hidden="1"/>
    </xf>
    <xf numFmtId="165" fontId="5" fillId="0" borderId="20" xfId="53" applyNumberFormat="1" applyFont="1" applyBorder="1" applyAlignment="1" applyProtection="1">
      <alignment horizontal="center" vertical="center"/>
      <protection hidden="1"/>
    </xf>
    <xf numFmtId="165" fontId="9" fillId="0" borderId="46" xfId="53" applyNumberFormat="1" applyFont="1" applyBorder="1" applyAlignment="1" applyProtection="1">
      <alignment horizontal="center" vertical="center"/>
      <protection hidden="1"/>
    </xf>
    <xf numFmtId="165" fontId="9" fillId="0" borderId="81" xfId="53" applyNumberFormat="1" applyFont="1" applyBorder="1" applyAlignment="1" applyProtection="1">
      <alignment horizontal="center" vertical="center"/>
      <protection hidden="1"/>
    </xf>
    <xf numFmtId="165" fontId="5" fillId="3" borderId="19" xfId="53" applyNumberFormat="1" applyFont="1" applyFill="1" applyBorder="1" applyAlignment="1" applyProtection="1">
      <alignment horizontal="center" vertical="center"/>
      <protection hidden="1"/>
    </xf>
    <xf numFmtId="165" fontId="5" fillId="2" borderId="82" xfId="53" applyNumberFormat="1" applyFont="1" applyFill="1" applyBorder="1" applyAlignment="1" applyProtection="1">
      <alignment horizontal="center" vertical="center"/>
      <protection hidden="1"/>
    </xf>
    <xf numFmtId="0" fontId="7" fillId="0" borderId="52" xfId="53" applyFont="1" applyBorder="1" applyAlignment="1" applyProtection="1">
      <alignment horizontal="left" vertical="center"/>
      <protection locked="0"/>
    </xf>
    <xf numFmtId="0" fontId="7" fillId="0" borderId="50" xfId="53" applyFont="1" applyBorder="1" applyAlignment="1" applyProtection="1">
      <alignment vertical="center"/>
      <protection hidden="1"/>
    </xf>
    <xf numFmtId="165" fontId="5" fillId="0" borderId="51" xfId="53" applyNumberFormat="1" applyFont="1" applyBorder="1" applyAlignment="1" applyProtection="1">
      <alignment horizontal="center" vertical="center"/>
      <protection hidden="1"/>
    </xf>
    <xf numFmtId="165" fontId="9" fillId="0" borderId="54" xfId="53" applyNumberFormat="1" applyFont="1" applyBorder="1" applyAlignment="1" applyProtection="1">
      <alignment horizontal="center" vertical="center"/>
      <protection hidden="1"/>
    </xf>
    <xf numFmtId="165" fontId="9" fillId="0" borderId="83" xfId="53" applyNumberFormat="1" applyFont="1" applyBorder="1" applyAlignment="1" applyProtection="1">
      <alignment horizontal="center" vertical="center"/>
      <protection hidden="1"/>
    </xf>
    <xf numFmtId="165" fontId="5" fillId="3" borderId="50" xfId="53" applyNumberFormat="1" applyFont="1" applyFill="1" applyBorder="1" applyAlignment="1" applyProtection="1">
      <alignment horizontal="center" vertical="center"/>
      <protection hidden="1"/>
    </xf>
    <xf numFmtId="165" fontId="5" fillId="2" borderId="84" xfId="53" applyNumberFormat="1" applyFont="1" applyFill="1" applyBorder="1" applyAlignment="1" applyProtection="1">
      <alignment horizontal="center" vertical="center"/>
      <protection hidden="1"/>
    </xf>
    <xf numFmtId="0" fontId="7" fillId="0" borderId="58" xfId="53" applyFont="1" applyBorder="1" applyAlignment="1" applyProtection="1">
      <alignment horizontal="left" vertical="center"/>
      <protection locked="0"/>
    </xf>
    <xf numFmtId="3" fontId="9" fillId="0" borderId="85" xfId="53" applyNumberFormat="1" applyFont="1" applyBorder="1" applyAlignment="1" applyProtection="1">
      <alignment horizontal="center" vertical="center"/>
      <protection hidden="1"/>
    </xf>
    <xf numFmtId="3" fontId="9" fillId="0" borderId="86" xfId="53" applyNumberFormat="1" applyFont="1" applyBorder="1" applyAlignment="1" applyProtection="1">
      <alignment horizontal="center" vertical="center"/>
      <protection hidden="1"/>
    </xf>
    <xf numFmtId="3" fontId="5" fillId="2" borderId="68" xfId="53" applyNumberFormat="1" applyFont="1" applyFill="1" applyBorder="1" applyAlignment="1" applyProtection="1">
      <alignment horizontal="center" vertical="center"/>
      <protection hidden="1"/>
    </xf>
    <xf numFmtId="0" fontId="7" fillId="18" borderId="58" xfId="53" applyFont="1" applyFill="1" applyBorder="1" applyAlignment="1" applyProtection="1">
      <alignment horizontal="left" vertical="center"/>
      <protection locked="0"/>
    </xf>
    <xf numFmtId="3" fontId="9" fillId="18" borderId="85" xfId="53" applyNumberFormat="1" applyFont="1" applyFill="1" applyBorder="1" applyAlignment="1" applyProtection="1">
      <alignment horizontal="center" vertical="center"/>
      <protection hidden="1"/>
    </xf>
    <xf numFmtId="3" fontId="5" fillId="18" borderId="65" xfId="53" applyNumberFormat="1" applyFont="1" applyFill="1" applyBorder="1" applyAlignment="1" applyProtection="1">
      <alignment horizontal="center" vertical="center"/>
      <protection hidden="1"/>
    </xf>
    <xf numFmtId="14" fontId="10" fillId="12" borderId="58" xfId="53" applyNumberFormat="1" applyFont="1" applyFill="1" applyBorder="1" applyAlignment="1" applyProtection="1" quotePrefix="1">
      <alignment horizontal="left" vertical="center"/>
      <protection locked="0"/>
    </xf>
    <xf numFmtId="0" fontId="2" fillId="0" borderId="17" xfId="53" applyFont="1" applyFill="1" applyBorder="1" applyAlignment="1">
      <alignment vertical="center" wrapText="1"/>
      <protection/>
    </xf>
    <xf numFmtId="3" fontId="9" fillId="12" borderId="85" xfId="53" applyNumberFormat="1" applyFont="1" applyFill="1" applyBorder="1" applyAlignment="1" applyProtection="1">
      <alignment horizontal="center" vertical="center"/>
      <protection hidden="1"/>
    </xf>
    <xf numFmtId="3" fontId="5" fillId="12" borderId="65" xfId="53" applyNumberFormat="1" applyFont="1" applyFill="1" applyBorder="1" applyAlignment="1" applyProtection="1">
      <alignment horizontal="center" vertical="center"/>
      <protection hidden="1"/>
    </xf>
    <xf numFmtId="0" fontId="2" fillId="12" borderId="17" xfId="53" applyFont="1" applyFill="1" applyBorder="1" applyAlignment="1" applyProtection="1">
      <alignment vertical="center" wrapText="1"/>
      <protection locked="0"/>
    </xf>
    <xf numFmtId="14" fontId="10" fillId="12" borderId="34" xfId="53" applyNumberFormat="1" applyFont="1" applyFill="1" applyBorder="1" applyAlignment="1" applyProtection="1" quotePrefix="1">
      <alignment horizontal="left" vertical="center"/>
      <protection locked="0"/>
    </xf>
    <xf numFmtId="164" fontId="9" fillId="12" borderId="22" xfId="53" applyNumberFormat="1" applyFont="1" applyFill="1" applyBorder="1" applyAlignment="1" applyProtection="1">
      <alignment horizontal="center" vertical="center"/>
      <protection hidden="1"/>
    </xf>
    <xf numFmtId="3" fontId="24" fillId="12" borderId="22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Font="1" applyBorder="1" applyAlignment="1">
      <alignment horizontal="justify" vertical="top" wrapText="1"/>
      <protection/>
    </xf>
    <xf numFmtId="0" fontId="3" fillId="0" borderId="17" xfId="53" applyFont="1" applyBorder="1" applyAlignment="1" applyProtection="1">
      <alignment vertical="center"/>
      <protection locked="0"/>
    </xf>
    <xf numFmtId="0" fontId="3" fillId="0" borderId="17" xfId="53" applyFont="1" applyBorder="1" applyAlignment="1" applyProtection="1">
      <alignment vertical="center" wrapText="1"/>
      <protection locked="0"/>
    </xf>
    <xf numFmtId="0" fontId="2" fillId="19" borderId="17" xfId="53" applyFont="1" applyFill="1" applyBorder="1" applyAlignment="1">
      <alignment wrapText="1"/>
      <protection/>
    </xf>
    <xf numFmtId="3" fontId="24" fillId="12" borderId="64" xfId="53" applyNumberFormat="1" applyFont="1" applyFill="1" applyBorder="1" applyAlignment="1" applyProtection="1">
      <alignment horizontal="center" vertical="center"/>
      <protection hidden="1"/>
    </xf>
    <xf numFmtId="0" fontId="2" fillId="0" borderId="17" xfId="53" applyFont="1" applyBorder="1" applyAlignment="1">
      <alignment horizontal="justify" vertical="top" wrapText="1"/>
      <protection/>
    </xf>
    <xf numFmtId="0" fontId="2" fillId="0" borderId="17" xfId="53" applyFont="1" applyBorder="1" applyAlignment="1" applyProtection="1">
      <alignment vertical="center"/>
      <protection locked="0"/>
    </xf>
    <xf numFmtId="0" fontId="2" fillId="19" borderId="17" xfId="53" applyFont="1" applyFill="1" applyBorder="1" applyAlignment="1">
      <alignment horizontal="justify" vertical="top" wrapText="1"/>
      <protection/>
    </xf>
    <xf numFmtId="0" fontId="7" fillId="12" borderId="17" xfId="53" applyFont="1" applyFill="1" applyBorder="1" applyAlignment="1" applyProtection="1">
      <alignment vertical="center"/>
      <protection hidden="1"/>
    </xf>
    <xf numFmtId="14" fontId="7" fillId="18" borderId="34" xfId="53" applyNumberFormat="1" applyFont="1" applyFill="1" applyBorder="1" applyAlignment="1" applyProtection="1">
      <alignment horizontal="left" vertical="center"/>
      <protection hidden="1"/>
    </xf>
    <xf numFmtId="0" fontId="7" fillId="18" borderId="17" xfId="53" applyFont="1" applyFill="1" applyBorder="1" applyAlignment="1" applyProtection="1">
      <alignment vertical="center"/>
      <protection hidden="1"/>
    </xf>
    <xf numFmtId="164" fontId="9" fillId="18" borderId="22" xfId="53" applyNumberFormat="1" applyFont="1" applyFill="1" applyBorder="1" applyAlignment="1" applyProtection="1">
      <alignment horizontal="center" vertical="center"/>
      <protection hidden="1"/>
    </xf>
    <xf numFmtId="14" fontId="10" fillId="12" borderId="34" xfId="53" applyNumberFormat="1" applyFont="1" applyFill="1" applyBorder="1" applyAlignment="1" applyProtection="1">
      <alignment horizontal="left" vertical="center"/>
      <protection locked="0"/>
    </xf>
    <xf numFmtId="0" fontId="2" fillId="19" borderId="17" xfId="53" applyFont="1" applyFill="1" applyBorder="1" applyAlignment="1">
      <alignment vertical="center" wrapText="1"/>
      <protection/>
    </xf>
    <xf numFmtId="14" fontId="10" fillId="12" borderId="34" xfId="53" applyNumberFormat="1" applyFont="1" applyFill="1" applyBorder="1" applyAlignment="1" applyProtection="1" quotePrefix="1">
      <alignment horizontal="left" vertical="center"/>
      <protection hidden="1"/>
    </xf>
    <xf numFmtId="0" fontId="6" fillId="12" borderId="21" xfId="53" applyFont="1" applyFill="1" applyBorder="1" applyAlignment="1" applyProtection="1">
      <alignment vertical="center" wrapText="1"/>
      <protection hidden="1"/>
    </xf>
    <xf numFmtId="3" fontId="9" fillId="12" borderId="66" xfId="53" applyNumberFormat="1" applyFont="1" applyFill="1" applyBorder="1" applyAlignment="1" applyProtection="1">
      <alignment horizontal="center" vertical="center"/>
      <protection hidden="1"/>
    </xf>
    <xf numFmtId="0" fontId="14" fillId="6" borderId="34" xfId="53" applyFont="1" applyFill="1" applyBorder="1" applyAlignment="1">
      <alignment wrapText="1"/>
      <protection/>
    </xf>
    <xf numFmtId="0" fontId="14" fillId="6" borderId="17" xfId="53" applyFont="1" applyFill="1" applyBorder="1" applyAlignment="1">
      <alignment wrapText="1"/>
      <protection/>
    </xf>
    <xf numFmtId="164" fontId="9" fillId="0" borderId="22" xfId="53" applyNumberFormat="1" applyFont="1" applyFill="1" applyBorder="1" applyAlignment="1" applyProtection="1">
      <alignment horizontal="center" vertical="center"/>
      <protection hidden="1"/>
    </xf>
    <xf numFmtId="3" fontId="9" fillId="0" borderId="64" xfId="53" applyNumberFormat="1" applyFont="1" applyFill="1" applyBorder="1" applyAlignment="1" applyProtection="1">
      <alignment horizontal="center" vertical="center"/>
      <protection hidden="1"/>
    </xf>
    <xf numFmtId="3" fontId="9" fillId="6" borderId="17" xfId="53" applyNumberFormat="1" applyFont="1" applyFill="1" applyBorder="1" applyAlignment="1" applyProtection="1">
      <alignment horizontal="center" vertical="center"/>
      <protection hidden="1"/>
    </xf>
    <xf numFmtId="3" fontId="9" fillId="6" borderId="36" xfId="53" applyNumberFormat="1" applyFont="1" applyFill="1" applyBorder="1" applyAlignment="1" applyProtection="1">
      <alignment horizontal="center" vertical="center"/>
      <protection hidden="1"/>
    </xf>
    <xf numFmtId="3" fontId="5" fillId="6" borderId="17" xfId="53" applyNumberFormat="1" applyFont="1" applyFill="1" applyBorder="1" applyAlignment="1" applyProtection="1">
      <alignment horizontal="center" vertical="center"/>
      <protection hidden="1"/>
    </xf>
    <xf numFmtId="3" fontId="9" fillId="6" borderId="22" xfId="53" applyNumberFormat="1" applyFont="1" applyFill="1" applyBorder="1" applyAlignment="1" applyProtection="1">
      <alignment horizontal="center" vertical="center"/>
      <protection hidden="1"/>
    </xf>
    <xf numFmtId="0" fontId="2" fillId="0" borderId="17" xfId="53" applyFont="1" applyFill="1" applyBorder="1" applyAlignment="1">
      <alignment wrapText="1"/>
      <protection/>
    </xf>
    <xf numFmtId="1" fontId="17" fillId="12" borderId="17" xfId="53" applyNumberFormat="1" applyFont="1" applyFill="1" applyBorder="1" applyAlignment="1">
      <alignment horizontal="left" wrapText="1"/>
      <protection/>
    </xf>
    <xf numFmtId="0" fontId="2" fillId="0" borderId="17" xfId="53" applyFont="1" applyFill="1" applyBorder="1" applyAlignment="1" applyProtection="1">
      <alignment vertical="center" wrapText="1"/>
      <protection locked="0"/>
    </xf>
    <xf numFmtId="0" fontId="2" fillId="0" borderId="17" xfId="49" applyFont="1" applyFill="1" applyBorder="1" applyAlignment="1">
      <alignment horizontal="justify" wrapText="1"/>
      <protection/>
    </xf>
    <xf numFmtId="14" fontId="14" fillId="6" borderId="34" xfId="53" applyNumberFormat="1" applyFont="1" applyFill="1" applyBorder="1" applyAlignment="1">
      <alignment wrapText="1"/>
      <protection/>
    </xf>
    <xf numFmtId="164" fontId="9" fillId="6" borderId="22" xfId="53" applyNumberFormat="1" applyFont="1" applyFill="1" applyBorder="1" applyAlignment="1" applyProtection="1">
      <alignment horizontal="center" vertical="center"/>
      <protection hidden="1"/>
    </xf>
    <xf numFmtId="3" fontId="9" fillId="6" borderId="64" xfId="53" applyNumberFormat="1" applyFont="1" applyFill="1" applyBorder="1" applyAlignment="1" applyProtection="1">
      <alignment horizontal="center" vertical="center"/>
      <protection hidden="1"/>
    </xf>
    <xf numFmtId="165" fontId="2" fillId="0" borderId="36" xfId="53" applyNumberFormat="1" applyFont="1" applyBorder="1" applyAlignment="1" applyProtection="1">
      <alignment vertical="center"/>
      <protection locked="0"/>
    </xf>
    <xf numFmtId="164" fontId="2" fillId="0" borderId="22" xfId="53" applyNumberFormat="1" applyFont="1" applyBorder="1" applyAlignment="1" applyProtection="1">
      <alignment vertical="center"/>
      <protection locked="0"/>
    </xf>
    <xf numFmtId="165" fontId="2" fillId="0" borderId="22" xfId="53" applyNumberFormat="1" applyFont="1" applyBorder="1" applyAlignment="1" applyProtection="1">
      <alignment vertical="center"/>
      <protection locked="0"/>
    </xf>
    <xf numFmtId="165" fontId="2" fillId="0" borderId="64" xfId="53" applyNumberFormat="1" applyFont="1" applyBorder="1" applyAlignment="1" applyProtection="1">
      <alignment vertical="center"/>
      <protection locked="0"/>
    </xf>
    <xf numFmtId="165" fontId="2" fillId="0" borderId="17" xfId="53" applyNumberFormat="1" applyFont="1" applyBorder="1" applyAlignment="1" applyProtection="1">
      <alignment vertical="center"/>
      <protection locked="0"/>
    </xf>
    <xf numFmtId="165" fontId="2" fillId="0" borderId="17" xfId="53" applyNumberFormat="1" applyFont="1" applyFill="1" applyBorder="1" applyAlignment="1" applyProtection="1">
      <alignment horizontal="justify" vertical="center"/>
      <protection hidden="1" locked="0"/>
    </xf>
    <xf numFmtId="0" fontId="2" fillId="0" borderId="34" xfId="53" applyFont="1" applyBorder="1" applyAlignment="1" applyProtection="1">
      <alignment horizontal="left" vertical="center"/>
      <protection locked="0"/>
    </xf>
    <xf numFmtId="165" fontId="2" fillId="6" borderId="17" xfId="53" applyNumberFormat="1" applyFont="1" applyFill="1" applyBorder="1" applyAlignment="1" applyProtection="1">
      <alignment vertical="center"/>
      <protection locked="0"/>
    </xf>
    <xf numFmtId="0" fontId="2" fillId="0" borderId="36" xfId="53" applyFont="1" applyBorder="1" applyAlignment="1" applyProtection="1">
      <alignment vertical="center"/>
      <protection locked="0"/>
    </xf>
    <xf numFmtId="0" fontId="2" fillId="0" borderId="64" xfId="53" applyFont="1" applyBorder="1" applyAlignment="1" applyProtection="1">
      <alignment vertical="center"/>
      <protection locked="0"/>
    </xf>
    <xf numFmtId="165" fontId="2" fillId="0" borderId="17" xfId="53" applyNumberFormat="1" applyFont="1" applyFill="1" applyBorder="1" applyAlignment="1" applyProtection="1">
      <alignment horizontal="left" vertical="center"/>
      <protection hidden="1" locked="0"/>
    </xf>
    <xf numFmtId="14" fontId="10" fillId="12" borderId="34" xfId="53" applyNumberFormat="1" applyFont="1" applyFill="1" applyBorder="1" applyAlignment="1" applyProtection="1">
      <alignment horizontal="left" vertical="center"/>
      <protection hidden="1"/>
    </xf>
    <xf numFmtId="0" fontId="2" fillId="12" borderId="17" xfId="53" applyFont="1" applyFill="1" applyBorder="1" applyAlignment="1">
      <alignment vertical="center" wrapText="1"/>
      <protection/>
    </xf>
    <xf numFmtId="0" fontId="3" fillId="12" borderId="17" xfId="53" applyFont="1" applyFill="1" applyBorder="1" applyAlignment="1">
      <alignment vertical="center" wrapText="1"/>
      <protection/>
    </xf>
    <xf numFmtId="14" fontId="10" fillId="16" borderId="34" xfId="53" applyNumberFormat="1" applyFont="1" applyFill="1" applyBorder="1" applyAlignment="1" applyProtection="1">
      <alignment horizontal="left" vertical="center"/>
      <protection hidden="1"/>
    </xf>
    <xf numFmtId="0" fontId="2" fillId="16" borderId="34" xfId="53" applyFont="1" applyFill="1" applyBorder="1" applyAlignment="1" applyProtection="1">
      <alignment horizontal="left" vertical="center"/>
      <protection locked="0"/>
    </xf>
    <xf numFmtId="0" fontId="2" fillId="6" borderId="17" xfId="53" applyFont="1" applyFill="1" applyBorder="1" applyAlignment="1" applyProtection="1">
      <alignment vertical="center"/>
      <protection locked="0"/>
    </xf>
    <xf numFmtId="0" fontId="3" fillId="0" borderId="17" xfId="53" applyFont="1" applyFill="1" applyBorder="1" applyAlignment="1">
      <alignment vertical="center" wrapText="1"/>
      <protection/>
    </xf>
    <xf numFmtId="0" fontId="2" fillId="0" borderId="87" xfId="53" applyFont="1" applyBorder="1" applyAlignment="1" applyProtection="1">
      <alignment horizontal="left" vertical="center"/>
      <protection locked="0"/>
    </xf>
    <xf numFmtId="0" fontId="2" fillId="0" borderId="88" xfId="53" applyFont="1" applyBorder="1" applyAlignment="1" applyProtection="1">
      <alignment vertical="center"/>
      <protection locked="0"/>
    </xf>
    <xf numFmtId="0" fontId="2" fillId="0" borderId="89" xfId="53" applyFont="1" applyBorder="1" applyAlignment="1" applyProtection="1">
      <alignment vertical="center"/>
      <protection locked="0"/>
    </xf>
    <xf numFmtId="164" fontId="2" fillId="0" borderId="90" xfId="53" applyNumberFormat="1" applyFont="1" applyBorder="1" applyAlignment="1" applyProtection="1">
      <alignment vertical="center"/>
      <protection locked="0"/>
    </xf>
    <xf numFmtId="0" fontId="2" fillId="0" borderId="90" xfId="53" applyFont="1" applyBorder="1" applyAlignment="1" applyProtection="1">
      <alignment vertical="center"/>
      <protection locked="0"/>
    </xf>
    <xf numFmtId="0" fontId="2" fillId="0" borderId="91" xfId="53" applyFont="1" applyBorder="1" applyAlignment="1" applyProtection="1">
      <alignment vertical="center"/>
      <protection locked="0"/>
    </xf>
    <xf numFmtId="3" fontId="9" fillId="12" borderId="89" xfId="53" applyNumberFormat="1" applyFont="1" applyFill="1" applyBorder="1" applyAlignment="1" applyProtection="1">
      <alignment horizontal="center" vertical="center"/>
      <protection hidden="1"/>
    </xf>
    <xf numFmtId="3" fontId="9" fillId="12" borderId="90" xfId="53" applyNumberFormat="1" applyFont="1" applyFill="1" applyBorder="1" applyAlignment="1" applyProtection="1">
      <alignment horizontal="center" vertical="center"/>
      <protection hidden="1"/>
    </xf>
    <xf numFmtId="0" fontId="3" fillId="0" borderId="89" xfId="53" applyFont="1" applyBorder="1" applyAlignment="1" applyProtection="1">
      <alignment vertical="center"/>
      <protection locked="0"/>
    </xf>
    <xf numFmtId="0" fontId="3" fillId="0" borderId="90" xfId="53" applyFont="1" applyBorder="1" applyAlignment="1" applyProtection="1">
      <alignment vertical="center"/>
      <protection locked="0"/>
    </xf>
    <xf numFmtId="0" fontId="3" fillId="0" borderId="91" xfId="53" applyFont="1" applyBorder="1" applyAlignment="1" applyProtection="1">
      <alignment vertical="center"/>
      <protection locked="0"/>
    </xf>
    <xf numFmtId="0" fontId="2" fillId="0" borderId="92" xfId="53" applyFont="1" applyBorder="1" applyAlignment="1" applyProtection="1">
      <alignment vertical="center"/>
      <protection locked="0"/>
    </xf>
    <xf numFmtId="3" fontId="5" fillId="0" borderId="21" xfId="53" applyNumberFormat="1" applyFont="1" applyFill="1" applyBorder="1" applyAlignment="1" applyProtection="1">
      <alignment horizontal="center" vertical="center"/>
      <protection hidden="1"/>
    </xf>
    <xf numFmtId="3" fontId="9" fillId="0" borderId="62" xfId="53" applyNumberFormat="1" applyFont="1" applyFill="1" applyBorder="1" applyAlignment="1" applyProtection="1">
      <alignment horizontal="center" vertical="center"/>
      <protection hidden="1"/>
    </xf>
    <xf numFmtId="3" fontId="9" fillId="0" borderId="61" xfId="53" applyNumberFormat="1" applyFont="1" applyFill="1" applyBorder="1" applyAlignment="1" applyProtection="1">
      <alignment horizontal="center" vertical="center"/>
      <protection hidden="1"/>
    </xf>
    <xf numFmtId="3" fontId="9" fillId="0" borderId="63" xfId="53" applyNumberFormat="1" applyFont="1" applyFill="1" applyBorder="1" applyAlignment="1" applyProtection="1">
      <alignment horizontal="center" vertical="center"/>
      <protection hidden="1"/>
    </xf>
    <xf numFmtId="0" fontId="6" fillId="12" borderId="21" xfId="53" applyFont="1" applyFill="1" applyBorder="1" applyAlignment="1" applyProtection="1">
      <alignment vertical="justify"/>
      <protection hidden="1"/>
    </xf>
    <xf numFmtId="165" fontId="3" fillId="12" borderId="38" xfId="53" applyNumberFormat="1" applyFont="1" applyFill="1" applyBorder="1" applyAlignment="1" applyProtection="1">
      <alignment horizontal="center" vertical="center"/>
      <protection hidden="1"/>
    </xf>
    <xf numFmtId="165" fontId="3" fillId="12" borderId="22" xfId="53" applyNumberFormat="1" applyFont="1" applyFill="1" applyBorder="1" applyAlignment="1" applyProtection="1">
      <alignment horizontal="center" vertical="center"/>
      <protection hidden="1"/>
    </xf>
    <xf numFmtId="165" fontId="3" fillId="12" borderId="37" xfId="53" applyNumberFormat="1" applyFont="1" applyFill="1" applyBorder="1" applyAlignment="1" applyProtection="1">
      <alignment horizontal="center" vertical="center"/>
      <protection hidden="1"/>
    </xf>
    <xf numFmtId="3" fontId="3" fillId="12" borderId="38" xfId="53" applyNumberFormat="1" applyFont="1" applyFill="1" applyBorder="1" applyAlignment="1" applyProtection="1">
      <alignment horizontal="center" vertical="center"/>
      <protection hidden="1"/>
    </xf>
    <xf numFmtId="3" fontId="3" fillId="12" borderId="22" xfId="53" applyNumberFormat="1" applyFont="1" applyFill="1" applyBorder="1" applyAlignment="1" applyProtection="1">
      <alignment horizontal="center" vertical="center"/>
      <protection hidden="1"/>
    </xf>
    <xf numFmtId="14" fontId="7" fillId="4" borderId="21" xfId="53" applyNumberFormat="1" applyFont="1" applyFill="1" applyBorder="1" applyAlignment="1" applyProtection="1">
      <alignment horizontal="left" vertical="center"/>
      <protection hidden="1"/>
    </xf>
    <xf numFmtId="0" fontId="7" fillId="4" borderId="21" xfId="53" applyFont="1" applyFill="1" applyBorder="1" applyAlignment="1" applyProtection="1">
      <alignment vertical="center"/>
      <protection hidden="1"/>
    </xf>
    <xf numFmtId="14" fontId="6" fillId="12" borderId="21" xfId="53" applyNumberFormat="1" applyFont="1" applyFill="1" applyBorder="1" applyAlignment="1" applyProtection="1" quotePrefix="1">
      <alignment horizontal="left" vertical="center" wrapText="1"/>
      <protection hidden="1"/>
    </xf>
    <xf numFmtId="2" fontId="6" fillId="12" borderId="21" xfId="53" applyNumberFormat="1" applyFont="1" applyFill="1" applyBorder="1" applyAlignment="1" applyProtection="1">
      <alignment vertical="center" wrapText="1"/>
      <protection hidden="1"/>
    </xf>
    <xf numFmtId="3" fontId="2" fillId="12" borderId="22" xfId="53" applyNumberFormat="1" applyFont="1" applyFill="1" applyBorder="1" applyAlignment="1" applyProtection="1">
      <alignment horizontal="center" vertical="center" wrapText="1"/>
      <protection hidden="1"/>
    </xf>
    <xf numFmtId="3" fontId="2" fillId="12" borderId="17" xfId="53" applyNumberFormat="1" applyFont="1" applyFill="1" applyBorder="1" applyAlignment="1" applyProtection="1">
      <alignment horizontal="center" vertical="center" wrapText="1"/>
      <protection hidden="1"/>
    </xf>
    <xf numFmtId="3" fontId="2" fillId="12" borderId="38" xfId="53" applyNumberFormat="1" applyFont="1" applyFill="1" applyBorder="1" applyAlignment="1" applyProtection="1">
      <alignment horizontal="center" vertical="center" wrapText="1"/>
      <protection hidden="1"/>
    </xf>
    <xf numFmtId="3" fontId="2" fillId="12" borderId="3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vertical="center" wrapText="1"/>
      <protection locked="0"/>
    </xf>
    <xf numFmtId="0" fontId="6" fillId="12" borderId="68" xfId="53" applyFont="1" applyFill="1" applyBorder="1" applyAlignment="1" applyProtection="1">
      <alignment vertical="center" wrapText="1"/>
      <protection hidden="1" locked="0"/>
    </xf>
    <xf numFmtId="3" fontId="2" fillId="12" borderId="21" xfId="53" applyNumberFormat="1" applyFont="1" applyFill="1" applyBorder="1" applyAlignment="1" applyProtection="1">
      <alignment horizontal="center" vertical="center" wrapText="1"/>
      <protection hidden="1"/>
    </xf>
    <xf numFmtId="3" fontId="2" fillId="12" borderId="65" xfId="53" applyNumberFormat="1" applyFont="1" applyFill="1" applyBorder="1" applyAlignment="1" applyProtection="1">
      <alignment horizontal="center" vertical="center" wrapText="1"/>
      <protection hidden="1"/>
    </xf>
    <xf numFmtId="3" fontId="3" fillId="4" borderId="38" xfId="53" applyNumberFormat="1" applyFont="1" applyFill="1" applyBorder="1" applyAlignment="1" applyProtection="1">
      <alignment horizontal="center" vertical="center"/>
      <protection hidden="1"/>
    </xf>
    <xf numFmtId="3" fontId="3" fillId="4" borderId="22" xfId="53" applyNumberFormat="1" applyFont="1" applyFill="1" applyBorder="1" applyAlignment="1" applyProtection="1">
      <alignment horizontal="center" vertical="center"/>
      <protection hidden="1"/>
    </xf>
    <xf numFmtId="3" fontId="3" fillId="4" borderId="37" xfId="53" applyNumberFormat="1" applyFont="1" applyFill="1" applyBorder="1" applyAlignment="1" applyProtection="1">
      <alignment horizontal="center" vertical="center"/>
      <protection hidden="1"/>
    </xf>
    <xf numFmtId="3" fontId="5" fillId="4" borderId="21" xfId="53" applyNumberFormat="1" applyFont="1" applyFill="1" applyBorder="1" applyAlignment="1" applyProtection="1">
      <alignment horizontal="center" vertical="center"/>
      <protection hidden="1"/>
    </xf>
    <xf numFmtId="14" fontId="10" fillId="12" borderId="21" xfId="53" applyNumberFormat="1" applyFont="1" applyFill="1" applyBorder="1" applyAlignment="1" applyProtection="1" quotePrefix="1">
      <alignment horizontal="left" vertical="center" wrapText="1"/>
      <protection hidden="1"/>
    </xf>
    <xf numFmtId="3" fontId="3" fillId="12" borderId="37" xfId="53" applyNumberFormat="1" applyFont="1" applyFill="1" applyBorder="1" applyAlignment="1" applyProtection="1">
      <alignment horizontal="center" vertical="center"/>
      <protection hidden="1"/>
    </xf>
    <xf numFmtId="0" fontId="2" fillId="0" borderId="66" xfId="53" applyFont="1" applyFill="1" applyBorder="1" applyAlignment="1" applyProtection="1">
      <alignment horizontal="left" vertical="center" wrapText="1"/>
      <protection locked="0"/>
    </xf>
    <xf numFmtId="3" fontId="24" fillId="12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Alignment="1" applyProtection="1">
      <alignment vertical="center" wrapText="1"/>
      <protection locked="0"/>
    </xf>
    <xf numFmtId="0" fontId="2" fillId="0" borderId="85" xfId="53" applyFont="1" applyFill="1" applyBorder="1" applyAlignment="1" applyProtection="1">
      <alignment horizontal="left" vertical="center" wrapText="1"/>
      <protection locked="0"/>
    </xf>
    <xf numFmtId="3" fontId="2" fillId="12" borderId="17" xfId="53" applyNumberFormat="1" applyFont="1" applyFill="1" applyBorder="1" applyAlignment="1" applyProtection="1">
      <alignment horizontal="center" vertical="center"/>
      <protection hidden="1"/>
    </xf>
    <xf numFmtId="3" fontId="3" fillId="12" borderId="58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36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22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34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17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38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37" xfId="53" applyNumberFormat="1" applyFont="1" applyFill="1" applyBorder="1" applyAlignment="1" applyProtection="1">
      <alignment horizontal="center" vertical="center" wrapText="1"/>
      <protection hidden="1"/>
    </xf>
    <xf numFmtId="3" fontId="3" fillId="2" borderId="17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38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37" xfId="53" applyNumberFormat="1" applyFont="1" applyFill="1" applyBorder="1" applyAlignment="1" applyProtection="1">
      <alignment horizontal="center" vertical="center" wrapText="1"/>
      <protection hidden="1"/>
    </xf>
    <xf numFmtId="2" fontId="6" fillId="12" borderId="22" xfId="53" applyNumberFormat="1" applyFont="1" applyFill="1" applyBorder="1" applyAlignment="1" applyProtection="1">
      <alignment vertical="center" wrapText="1"/>
      <protection hidden="1"/>
    </xf>
    <xf numFmtId="3" fontId="3" fillId="12" borderId="64" xfId="53" applyNumberFormat="1" applyFont="1" applyFill="1" applyBorder="1" applyAlignment="1" applyProtection="1">
      <alignment horizontal="center" vertical="center" wrapText="1"/>
      <protection hidden="1"/>
    </xf>
    <xf numFmtId="3" fontId="3" fillId="12" borderId="21" xfId="53" applyNumberFormat="1" applyFont="1" applyFill="1" applyBorder="1" applyAlignment="1" applyProtection="1">
      <alignment horizontal="center" vertical="center" wrapText="1"/>
      <protection hidden="1"/>
    </xf>
    <xf numFmtId="3" fontId="5" fillId="7" borderId="21" xfId="53" applyNumberFormat="1" applyFont="1" applyFill="1" applyBorder="1" applyAlignment="1" applyProtection="1">
      <alignment horizontal="center" vertical="center"/>
      <protection hidden="1"/>
    </xf>
    <xf numFmtId="3" fontId="2" fillId="12" borderId="66" xfId="53" applyNumberFormat="1" applyFont="1" applyFill="1" applyBorder="1" applyAlignment="1" applyProtection="1">
      <alignment horizontal="center" vertical="center" wrapText="1"/>
      <protection hidden="1"/>
    </xf>
    <xf numFmtId="2" fontId="6" fillId="12" borderId="85" xfId="53" applyNumberFormat="1" applyFont="1" applyFill="1" applyBorder="1" applyAlignment="1" applyProtection="1">
      <alignment vertical="center" wrapText="1"/>
      <protection hidden="1"/>
    </xf>
    <xf numFmtId="3" fontId="5" fillId="4" borderId="58" xfId="53" applyNumberFormat="1" applyFont="1" applyFill="1" applyBorder="1" applyAlignment="1" applyProtection="1">
      <alignment horizontal="center" vertical="center"/>
      <protection hidden="1"/>
    </xf>
    <xf numFmtId="3" fontId="9" fillId="12" borderId="21" xfId="53" applyNumberFormat="1" applyFont="1" applyFill="1" applyBorder="1" applyAlignment="1" applyProtection="1">
      <alignment horizontal="center" vertical="center"/>
      <protection hidden="1"/>
    </xf>
    <xf numFmtId="3" fontId="9" fillId="12" borderId="62" xfId="53" applyNumberFormat="1" applyFont="1" applyFill="1" applyBorder="1" applyAlignment="1" applyProtection="1">
      <alignment horizontal="center" vertical="center"/>
      <protection hidden="1"/>
    </xf>
    <xf numFmtId="0" fontId="6" fillId="12" borderId="21" xfId="53" applyFont="1" applyFill="1" applyBorder="1" applyAlignment="1" applyProtection="1">
      <alignment vertical="center"/>
      <protection hidden="1"/>
    </xf>
    <xf numFmtId="0" fontId="6" fillId="0" borderId="21" xfId="53" applyFont="1" applyFill="1" applyBorder="1" applyAlignment="1" applyProtection="1">
      <alignment vertical="center"/>
      <protection hidden="1"/>
    </xf>
    <xf numFmtId="3" fontId="3" fillId="0" borderId="22" xfId="53" applyNumberFormat="1" applyFont="1" applyFill="1" applyBorder="1" applyAlignment="1" applyProtection="1">
      <alignment horizontal="center" vertical="center"/>
      <protection hidden="1"/>
    </xf>
    <xf numFmtId="14" fontId="10" fillId="0" borderId="21" xfId="53" applyNumberFormat="1" applyFont="1" applyFill="1" applyBorder="1" applyAlignment="1" applyProtection="1">
      <alignment horizontal="left" vertical="center"/>
      <protection hidden="1"/>
    </xf>
    <xf numFmtId="0" fontId="6" fillId="0" borderId="21" xfId="53" applyFont="1" applyFill="1" applyBorder="1" applyAlignment="1" applyProtection="1">
      <alignment vertical="justify"/>
      <protection hidden="1"/>
    </xf>
    <xf numFmtId="3" fontId="2" fillId="4" borderId="34" xfId="53" applyNumberFormat="1" applyFont="1" applyFill="1" applyBorder="1" applyAlignment="1" applyProtection="1">
      <alignment horizontal="center" vertical="center"/>
      <protection hidden="1"/>
    </xf>
    <xf numFmtId="3" fontId="2" fillId="4" borderId="17" xfId="53" applyNumberFormat="1" applyFont="1" applyFill="1" applyBorder="1" applyAlignment="1" applyProtection="1">
      <alignment horizontal="center" vertical="center"/>
      <protection hidden="1"/>
    </xf>
    <xf numFmtId="0" fontId="6" fillId="0" borderId="66" xfId="49" applyFont="1" applyFill="1" applyBorder="1" applyAlignment="1" applyProtection="1">
      <alignment horizontal="left" wrapText="1"/>
      <protection locked="0"/>
    </xf>
    <xf numFmtId="0" fontId="6" fillId="0" borderId="66" xfId="53" applyFont="1" applyFill="1" applyBorder="1" applyAlignment="1" applyProtection="1">
      <alignment horizontal="left" vertical="center" wrapText="1"/>
      <protection locked="0"/>
    </xf>
    <xf numFmtId="3" fontId="2" fillId="12" borderId="34" xfId="53" applyNumberFormat="1" applyFont="1" applyFill="1" applyBorder="1" applyAlignment="1" applyProtection="1">
      <alignment horizontal="center" vertical="center"/>
      <protection hidden="1"/>
    </xf>
    <xf numFmtId="0" fontId="2" fillId="0" borderId="17" xfId="53" applyFont="1" applyBorder="1" applyAlignment="1" applyProtection="1">
      <alignment vertical="center" wrapText="1"/>
      <protection locked="0"/>
    </xf>
    <xf numFmtId="3" fontId="3" fillId="12" borderId="64" xfId="53" applyNumberFormat="1" applyFont="1" applyFill="1" applyBorder="1" applyAlignment="1" applyProtection="1">
      <alignment horizontal="center" vertical="center"/>
      <protection hidden="1"/>
    </xf>
    <xf numFmtId="0" fontId="6" fillId="12" borderId="65" xfId="53" applyFont="1" applyFill="1" applyBorder="1" applyProtection="1">
      <alignment/>
      <protection locked="0"/>
    </xf>
    <xf numFmtId="0" fontId="6" fillId="0" borderId="17" xfId="53" applyFont="1" applyFill="1" applyBorder="1" applyAlignment="1" applyProtection="1">
      <alignment horizontal="left" vertical="center" wrapText="1"/>
      <protection locked="0"/>
    </xf>
    <xf numFmtId="0" fontId="6" fillId="0" borderId="85" xfId="53" applyFont="1" applyFill="1" applyBorder="1" applyAlignment="1" applyProtection="1">
      <alignment horizontal="left" vertical="center" wrapText="1"/>
      <protection locked="0"/>
    </xf>
    <xf numFmtId="165" fontId="2" fillId="0" borderId="0" xfId="53" applyNumberFormat="1" applyFont="1" applyAlignment="1" applyProtection="1">
      <alignment vertical="center"/>
      <protection locked="0"/>
    </xf>
    <xf numFmtId="165" fontId="3" fillId="0" borderId="0" xfId="53" applyNumberFormat="1" applyFont="1" applyAlignment="1" applyProtection="1">
      <alignment vertical="center"/>
      <protection locked="0"/>
    </xf>
    <xf numFmtId="0" fontId="7" fillId="18" borderId="0" xfId="53" applyFont="1" applyFill="1" applyBorder="1" applyAlignment="1" applyProtection="1">
      <alignment horizontal="center" vertical="center"/>
      <protection hidden="1"/>
    </xf>
    <xf numFmtId="3" fontId="9" fillId="18" borderId="18" xfId="53" applyNumberFormat="1" applyFont="1" applyFill="1" applyBorder="1" applyAlignment="1" applyProtection="1">
      <alignment horizontal="center" vertical="center"/>
      <protection hidden="1"/>
    </xf>
    <xf numFmtId="3" fontId="14" fillId="18" borderId="18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vertical="center"/>
      <protection locked="0"/>
    </xf>
    <xf numFmtId="14" fontId="7" fillId="2" borderId="93" xfId="53" applyNumberFormat="1" applyFont="1" applyFill="1" applyBorder="1" applyAlignment="1" applyProtection="1">
      <alignment horizontal="left" vertical="center"/>
      <protection hidden="1"/>
    </xf>
    <xf numFmtId="0" fontId="20" fillId="2" borderId="17" xfId="53" applyFont="1" applyFill="1" applyBorder="1" applyAlignment="1" applyProtection="1">
      <alignment horizontal="center" vertical="center"/>
      <protection hidden="1"/>
    </xf>
    <xf numFmtId="3" fontId="14" fillId="2" borderId="17" xfId="53" applyNumberFormat="1" applyFont="1" applyFill="1" applyBorder="1" applyAlignment="1" applyProtection="1">
      <alignment vertical="center"/>
      <protection hidden="1"/>
    </xf>
    <xf numFmtId="3" fontId="14" fillId="2" borderId="34" xfId="53" applyNumberFormat="1" applyFont="1" applyFill="1" applyBorder="1" applyAlignment="1" applyProtection="1">
      <alignment vertical="center"/>
      <protection hidden="1"/>
    </xf>
    <xf numFmtId="3" fontId="20" fillId="2" borderId="17" xfId="53" applyNumberFormat="1" applyFont="1" applyFill="1" applyBorder="1" applyAlignment="1" applyProtection="1">
      <alignment vertical="center"/>
      <protection hidden="1"/>
    </xf>
    <xf numFmtId="14" fontId="10" fillId="0" borderId="17" xfId="53" applyNumberFormat="1" applyFont="1" applyFill="1" applyBorder="1" applyAlignment="1" applyProtection="1" quotePrefix="1">
      <alignment horizontal="left" vertical="center"/>
      <protection hidden="1"/>
    </xf>
    <xf numFmtId="0" fontId="21" fillId="0" borderId="65" xfId="53" applyFont="1" applyFill="1" applyBorder="1" applyAlignment="1">
      <alignment vertical="center" wrapText="1"/>
      <protection/>
    </xf>
    <xf numFmtId="3" fontId="15" fillId="0" borderId="17" xfId="53" applyNumberFormat="1" applyFont="1" applyFill="1" applyBorder="1" applyAlignment="1" applyProtection="1">
      <alignment vertical="center"/>
      <protection hidden="1"/>
    </xf>
    <xf numFmtId="3" fontId="15" fillId="0" borderId="34" xfId="53" applyNumberFormat="1" applyFont="1" applyFill="1" applyBorder="1" applyAlignment="1" applyProtection="1">
      <alignment vertical="center"/>
      <protection locked="0"/>
    </xf>
    <xf numFmtId="3" fontId="15" fillId="0" borderId="22" xfId="53" applyNumberFormat="1" applyFont="1" applyFill="1" applyBorder="1" applyAlignment="1">
      <alignment vertical="center" wrapText="1"/>
      <protection/>
    </xf>
    <xf numFmtId="3" fontId="15" fillId="0" borderId="22" xfId="53" applyNumberFormat="1" applyFont="1" applyFill="1" applyBorder="1" applyAlignment="1" applyProtection="1">
      <alignment vertical="center"/>
      <protection locked="0"/>
    </xf>
    <xf numFmtId="3" fontId="15" fillId="0" borderId="65" xfId="53" applyNumberFormat="1" applyFont="1" applyFill="1" applyBorder="1" applyAlignment="1">
      <alignment vertical="center" wrapText="1"/>
      <protection/>
    </xf>
    <xf numFmtId="3" fontId="15" fillId="0" borderId="34" xfId="53" applyNumberFormat="1" applyFont="1" applyFill="1" applyBorder="1" applyAlignment="1">
      <alignment vertical="center" wrapText="1"/>
      <protection/>
    </xf>
    <xf numFmtId="3" fontId="15" fillId="0" borderId="17" xfId="53" applyNumberFormat="1" applyFont="1" applyFill="1" applyBorder="1" applyAlignment="1" applyProtection="1">
      <alignment vertical="center"/>
      <protection locked="0"/>
    </xf>
    <xf numFmtId="0" fontId="21" fillId="0" borderId="65" xfId="53" applyFont="1" applyFill="1" applyBorder="1" applyAlignment="1">
      <alignment vertical="center" shrinkToFit="1"/>
      <protection/>
    </xf>
    <xf numFmtId="0" fontId="21" fillId="0" borderId="22" xfId="53" applyFont="1" applyFill="1" applyBorder="1" applyAlignment="1" applyProtection="1">
      <alignment vertical="center"/>
      <protection locked="0"/>
    </xf>
    <xf numFmtId="3" fontId="15" fillId="0" borderId="65" xfId="53" applyNumberFormat="1" applyFont="1" applyFill="1" applyBorder="1" applyAlignment="1" applyProtection="1">
      <alignment vertical="center"/>
      <protection locked="0"/>
    </xf>
    <xf numFmtId="0" fontId="2" fillId="0" borderId="17" xfId="53" applyFont="1" applyFill="1" applyBorder="1" applyAlignment="1" applyProtection="1">
      <alignment horizontal="left" vertical="center"/>
      <protection locked="0"/>
    </xf>
    <xf numFmtId="0" fontId="21" fillId="0" borderId="65" xfId="53" applyFont="1" applyFill="1" applyBorder="1" applyAlignment="1" applyProtection="1">
      <alignment vertical="center" wrapText="1"/>
      <protection hidden="1" locked="0"/>
    </xf>
    <xf numFmtId="0" fontId="21" fillId="0" borderId="65" xfId="53" applyFont="1" applyFill="1" applyBorder="1" applyAlignment="1" applyProtection="1">
      <alignment vertical="center"/>
      <protection hidden="1" locked="0"/>
    </xf>
    <xf numFmtId="0" fontId="3" fillId="0" borderId="17" xfId="53" applyFont="1" applyFill="1" applyBorder="1" applyAlignment="1" applyProtection="1">
      <alignment vertical="center"/>
      <protection locked="0"/>
    </xf>
    <xf numFmtId="49" fontId="21" fillId="0" borderId="65" xfId="53" applyNumberFormat="1" applyFont="1" applyFill="1" applyBorder="1" applyAlignment="1" applyProtection="1">
      <alignment vertical="center"/>
      <protection hidden="1" locked="0"/>
    </xf>
    <xf numFmtId="0" fontId="14" fillId="2" borderId="66" xfId="53" applyFont="1" applyFill="1" applyBorder="1" applyAlignment="1">
      <alignment horizontal="center" vertical="center" wrapText="1"/>
      <protection/>
    </xf>
    <xf numFmtId="0" fontId="21" fillId="2" borderId="17" xfId="53" applyFont="1" applyFill="1" applyBorder="1" applyAlignment="1" applyProtection="1">
      <alignment vertical="center"/>
      <protection locked="0"/>
    </xf>
    <xf numFmtId="2" fontId="15" fillId="2" borderId="34" xfId="53" applyNumberFormat="1" applyFont="1" applyFill="1" applyBorder="1" applyAlignment="1" applyProtection="1">
      <alignment vertical="center"/>
      <protection locked="0"/>
    </xf>
    <xf numFmtId="2" fontId="21" fillId="2" borderId="17" xfId="53" applyNumberFormat="1" applyFont="1" applyFill="1" applyBorder="1" applyAlignment="1" applyProtection="1">
      <alignment vertical="center"/>
      <protection locked="0"/>
    </xf>
    <xf numFmtId="0" fontId="0" fillId="0" borderId="65" xfId="53" applyFont="1" applyFill="1" applyBorder="1" applyAlignment="1">
      <alignment vertical="center"/>
      <protection/>
    </xf>
    <xf numFmtId="0" fontId="0" fillId="0" borderId="17" xfId="53" applyFont="1" applyFill="1" applyBorder="1" applyAlignment="1" applyProtection="1">
      <alignment vertical="center"/>
      <protection locked="0"/>
    </xf>
    <xf numFmtId="2" fontId="0" fillId="0" borderId="34" xfId="53" applyNumberFormat="1" applyFont="1" applyFill="1" applyBorder="1" applyAlignment="1" applyProtection="1">
      <alignment vertical="center"/>
      <protection locked="0"/>
    </xf>
    <xf numFmtId="2" fontId="0" fillId="0" borderId="22" xfId="53" applyNumberFormat="1" applyFont="1" applyFill="1" applyBorder="1" applyAlignment="1" applyProtection="1">
      <alignment vertical="center"/>
      <protection locked="0"/>
    </xf>
    <xf numFmtId="2" fontId="0" fillId="0" borderId="65" xfId="53" applyNumberFormat="1" applyFont="1" applyFill="1" applyBorder="1" applyAlignment="1" applyProtection="1">
      <alignment vertical="center"/>
      <protection locked="0"/>
    </xf>
    <xf numFmtId="2" fontId="21" fillId="0" borderId="17" xfId="53" applyNumberFormat="1" applyFont="1" applyFill="1" applyBorder="1" applyAlignment="1" applyProtection="1">
      <alignment vertical="center"/>
      <protection locked="0"/>
    </xf>
    <xf numFmtId="2" fontId="22" fillId="0" borderId="22" xfId="53" applyNumberFormat="1" applyFont="1" applyFill="1" applyBorder="1" applyAlignment="1" applyProtection="1">
      <alignment vertical="center"/>
      <protection locked="0"/>
    </xf>
    <xf numFmtId="2" fontId="25" fillId="0" borderId="22" xfId="53" applyNumberFormat="1" applyFont="1" applyFill="1" applyBorder="1" applyAlignment="1">
      <alignment vertical="center"/>
      <protection/>
    </xf>
    <xf numFmtId="2" fontId="22" fillId="0" borderId="65" xfId="53" applyNumberFormat="1" applyFont="1" applyFill="1" applyBorder="1" applyAlignment="1" applyProtection="1">
      <alignment vertical="center"/>
      <protection locked="0"/>
    </xf>
    <xf numFmtId="2" fontId="25" fillId="0" borderId="17" xfId="53" applyNumberFormat="1" applyFont="1" applyFill="1" applyBorder="1" applyAlignment="1">
      <alignment vertical="center"/>
      <protection/>
    </xf>
    <xf numFmtId="0" fontId="0" fillId="0" borderId="65" xfId="53" applyFont="1" applyFill="1" applyBorder="1" applyAlignment="1" applyProtection="1">
      <alignment vertical="center"/>
      <protection hidden="1"/>
    </xf>
    <xf numFmtId="3" fontId="22" fillId="0" borderId="17" xfId="53" applyNumberFormat="1" applyFont="1" applyFill="1" applyBorder="1" applyAlignment="1" applyProtection="1">
      <alignment vertical="center"/>
      <protection hidden="1"/>
    </xf>
    <xf numFmtId="2" fontId="22" fillId="0" borderId="34" xfId="53" applyNumberFormat="1" applyFont="1" applyFill="1" applyBorder="1" applyAlignment="1" applyProtection="1">
      <alignment vertical="center"/>
      <protection hidden="1"/>
    </xf>
    <xf numFmtId="2" fontId="22" fillId="0" borderId="22" xfId="53" applyNumberFormat="1" applyFont="1" applyFill="1" applyBorder="1" applyAlignment="1" applyProtection="1">
      <alignment vertical="center"/>
      <protection hidden="1"/>
    </xf>
    <xf numFmtId="0" fontId="15" fillId="0" borderId="22" xfId="53" applyFont="1" applyFill="1" applyBorder="1" applyAlignment="1" applyProtection="1">
      <alignment vertical="center"/>
      <protection locked="0"/>
    </xf>
    <xf numFmtId="2" fontId="22" fillId="0" borderId="65" xfId="53" applyNumberFormat="1" applyFont="1" applyFill="1" applyBorder="1" applyAlignment="1" applyProtection="1">
      <alignment vertical="center"/>
      <protection hidden="1"/>
    </xf>
    <xf numFmtId="2" fontId="0" fillId="0" borderId="17" xfId="53" applyNumberFormat="1" applyFont="1" applyFill="1" applyBorder="1" applyAlignment="1" applyProtection="1">
      <alignment vertical="center"/>
      <protection locked="0"/>
    </xf>
    <xf numFmtId="0" fontId="0" fillId="0" borderId="65" xfId="53" applyFont="1" applyFill="1" applyBorder="1" applyAlignment="1" applyProtection="1">
      <alignment vertical="center"/>
      <protection locked="0"/>
    </xf>
    <xf numFmtId="0" fontId="22" fillId="0" borderId="17" xfId="53" applyFont="1" applyFill="1" applyBorder="1" applyAlignment="1" applyProtection="1">
      <alignment vertical="center"/>
      <protection locked="0"/>
    </xf>
    <xf numFmtId="0" fontId="22" fillId="0" borderId="34" xfId="53" applyFont="1" applyFill="1" applyBorder="1" applyAlignment="1" applyProtection="1">
      <alignment vertical="center"/>
      <protection locked="0"/>
    </xf>
    <xf numFmtId="2" fontId="22" fillId="0" borderId="34" xfId="53" applyNumberFormat="1" applyFont="1" applyFill="1" applyBorder="1" applyAlignment="1" applyProtection="1">
      <alignment vertical="center"/>
      <protection locked="0"/>
    </xf>
    <xf numFmtId="2" fontId="22" fillId="0" borderId="17" xfId="53" applyNumberFormat="1" applyFont="1" applyFill="1" applyBorder="1" applyAlignment="1" applyProtection="1">
      <alignment vertical="center"/>
      <protection locked="0"/>
    </xf>
    <xf numFmtId="2" fontId="0" fillId="0" borderId="22" xfId="53" applyNumberFormat="1" applyFont="1" applyFill="1" applyBorder="1" applyAlignment="1" applyProtection="1">
      <alignment vertical="center"/>
      <protection hidden="1"/>
    </xf>
    <xf numFmtId="2" fontId="22" fillId="0" borderId="17" xfId="53" applyNumberFormat="1" applyFont="1" applyFill="1" applyBorder="1" applyAlignment="1" applyProtection="1">
      <alignment vertical="center"/>
      <protection hidden="1"/>
    </xf>
    <xf numFmtId="0" fontId="0" fillId="0" borderId="65" xfId="53" applyFont="1" applyFill="1" applyBorder="1" applyAlignment="1" applyProtection="1">
      <alignment vertical="center" wrapText="1"/>
      <protection locked="0"/>
    </xf>
    <xf numFmtId="2" fontId="25" fillId="0" borderId="65" xfId="53" applyNumberFormat="1" applyFont="1" applyFill="1" applyBorder="1" applyAlignment="1">
      <alignment vertical="center"/>
      <protection/>
    </xf>
    <xf numFmtId="3" fontId="14" fillId="2" borderId="34" xfId="53" applyNumberFormat="1" applyFont="1" applyFill="1" applyBorder="1" applyAlignment="1" applyProtection="1">
      <alignment vertical="center"/>
      <protection locked="0"/>
    </xf>
    <xf numFmtId="2" fontId="20" fillId="2" borderId="17" xfId="53" applyNumberFormat="1" applyFont="1" applyFill="1" applyBorder="1" applyAlignment="1" applyProtection="1">
      <alignment vertical="center"/>
      <protection locked="0"/>
    </xf>
    <xf numFmtId="0" fontId="21" fillId="0" borderId="65" xfId="53" applyFont="1" applyFill="1" applyBorder="1" applyAlignment="1" applyProtection="1">
      <alignment vertical="center"/>
      <protection hidden="1"/>
    </xf>
    <xf numFmtId="3" fontId="15" fillId="0" borderId="34" xfId="53" applyNumberFormat="1" applyFont="1" applyFill="1" applyBorder="1" applyAlignment="1" applyProtection="1">
      <alignment vertical="center"/>
      <protection hidden="1"/>
    </xf>
    <xf numFmtId="3" fontId="15" fillId="0" borderId="22" xfId="53" applyNumberFormat="1" applyFont="1" applyFill="1" applyBorder="1" applyAlignment="1" applyProtection="1">
      <alignment vertical="center"/>
      <protection hidden="1"/>
    </xf>
    <xf numFmtId="3" fontId="15" fillId="0" borderId="65" xfId="53" applyNumberFormat="1" applyFont="1" applyFill="1" applyBorder="1" applyAlignment="1" applyProtection="1">
      <alignment vertical="center"/>
      <protection hidden="1"/>
    </xf>
    <xf numFmtId="3" fontId="21" fillId="0" borderId="17" xfId="53" applyNumberFormat="1" applyFont="1" applyFill="1" applyBorder="1" applyAlignment="1" applyProtection="1">
      <alignment vertical="center"/>
      <protection hidden="1"/>
    </xf>
    <xf numFmtId="0" fontId="21" fillId="0" borderId="65" xfId="53" applyFont="1" applyFill="1" applyBorder="1" applyAlignment="1" applyProtection="1">
      <alignment vertical="center" wrapText="1"/>
      <protection hidden="1"/>
    </xf>
    <xf numFmtId="14" fontId="7" fillId="0" borderId="17" xfId="53" applyNumberFormat="1" applyFont="1" applyFill="1" applyBorder="1" applyAlignment="1" applyProtection="1">
      <alignment horizontal="left" vertical="center"/>
      <protection hidden="1"/>
    </xf>
    <xf numFmtId="0" fontId="14" fillId="6" borderId="66" xfId="51" applyFont="1" applyFill="1" applyBorder="1" applyAlignment="1">
      <alignment horizontal="center" vertical="center" wrapText="1"/>
      <protection/>
    </xf>
    <xf numFmtId="0" fontId="15" fillId="0" borderId="65" xfId="53" applyFont="1" applyFill="1" applyBorder="1" applyAlignment="1" applyProtection="1">
      <alignment vertical="center"/>
      <protection locked="0"/>
    </xf>
    <xf numFmtId="0" fontId="15" fillId="0" borderId="17" xfId="53" applyFont="1" applyFill="1" applyBorder="1" applyAlignment="1" applyProtection="1">
      <alignment vertical="center"/>
      <protection locked="0"/>
    </xf>
    <xf numFmtId="0" fontId="15" fillId="0" borderId="34" xfId="53" applyFont="1" applyFill="1" applyBorder="1" applyAlignment="1" applyProtection="1">
      <alignment vertical="center"/>
      <protection locked="0"/>
    </xf>
    <xf numFmtId="0" fontId="21" fillId="0" borderId="65" xfId="49" applyFont="1" applyFill="1" applyBorder="1" applyAlignment="1">
      <alignment vertical="center" wrapText="1"/>
      <protection/>
    </xf>
    <xf numFmtId="164" fontId="15" fillId="0" borderId="34" xfId="53" applyNumberFormat="1" applyFont="1" applyFill="1" applyBorder="1" applyAlignment="1">
      <alignment vertical="center" wrapText="1"/>
      <protection/>
    </xf>
    <xf numFmtId="164" fontId="15" fillId="0" borderId="22" xfId="53" applyNumberFormat="1" applyFont="1" applyFill="1" applyBorder="1" applyAlignment="1">
      <alignment vertical="center" wrapText="1"/>
      <protection/>
    </xf>
    <xf numFmtId="164" fontId="15" fillId="0" borderId="65" xfId="53" applyNumberFormat="1" applyFont="1" applyFill="1" applyBorder="1" applyAlignment="1">
      <alignment vertical="center" wrapText="1"/>
      <protection/>
    </xf>
    <xf numFmtId="0" fontId="21" fillId="0" borderId="34" xfId="53" applyFont="1" applyFill="1" applyBorder="1" applyAlignment="1" applyProtection="1">
      <alignment vertical="center"/>
      <protection locked="0"/>
    </xf>
    <xf numFmtId="0" fontId="21" fillId="0" borderId="65" xfId="53" applyFont="1" applyFill="1" applyBorder="1" applyAlignment="1" applyProtection="1">
      <alignment vertical="center"/>
      <protection locked="0"/>
    </xf>
    <xf numFmtId="0" fontId="21" fillId="0" borderId="17" xfId="53" applyFont="1" applyFill="1" applyBorder="1" applyAlignment="1" applyProtection="1">
      <alignment vertical="center"/>
      <protection locked="0"/>
    </xf>
    <xf numFmtId="0" fontId="21" fillId="0" borderId="65" xfId="53" applyFont="1" applyFill="1" applyBorder="1" applyAlignment="1" applyProtection="1">
      <alignment vertical="center" wrapText="1"/>
      <protection locked="0"/>
    </xf>
    <xf numFmtId="165" fontId="21" fillId="0" borderId="17" xfId="53" applyNumberFormat="1" applyFont="1" applyFill="1" applyBorder="1" applyAlignment="1" applyProtection="1">
      <alignment vertical="center"/>
      <protection locked="0"/>
    </xf>
    <xf numFmtId="165" fontId="15" fillId="0" borderId="34" xfId="53" applyNumberFormat="1" applyFont="1" applyFill="1" applyBorder="1" applyAlignment="1" applyProtection="1">
      <alignment vertical="center"/>
      <protection locked="0"/>
    </xf>
    <xf numFmtId="165" fontId="15" fillId="0" borderId="22" xfId="53" applyNumberFormat="1" applyFont="1" applyFill="1" applyBorder="1" applyAlignment="1" applyProtection="1">
      <alignment vertical="center"/>
      <protection locked="0"/>
    </xf>
    <xf numFmtId="165" fontId="15" fillId="0" borderId="65" xfId="53" applyNumberFormat="1" applyFont="1" applyFill="1" applyBorder="1" applyAlignment="1" applyProtection="1">
      <alignment vertical="center"/>
      <protection locked="0"/>
    </xf>
    <xf numFmtId="0" fontId="2" fillId="0" borderId="0" xfId="51" applyFont="1" applyAlignment="1" applyProtection="1">
      <alignment vertical="center"/>
      <protection locked="0"/>
    </xf>
    <xf numFmtId="0" fontId="2" fillId="0" borderId="0" xfId="51" applyFont="1" applyAlignment="1" applyProtection="1">
      <alignment horizontal="left"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6" fillId="0" borderId="10" xfId="51" applyFont="1" applyBorder="1" applyAlignment="1" applyProtection="1">
      <alignment horizontal="left" vertical="center"/>
      <protection hidden="1"/>
    </xf>
    <xf numFmtId="0" fontId="7" fillId="0" borderId="10" xfId="51" applyFont="1" applyBorder="1" applyAlignment="1" applyProtection="1">
      <alignment horizontal="center" vertical="center"/>
      <protection hidden="1"/>
    </xf>
    <xf numFmtId="0" fontId="6" fillId="0" borderId="11" xfId="51" applyFont="1" applyBorder="1" applyAlignment="1" applyProtection="1">
      <alignment horizontal="left" vertical="center"/>
      <protection hidden="1"/>
    </xf>
    <xf numFmtId="0" fontId="7" fillId="0" borderId="11" xfId="51" applyFont="1" applyBorder="1" applyAlignment="1" applyProtection="1">
      <alignment horizontal="center" vertical="center"/>
      <protection hidden="1"/>
    </xf>
    <xf numFmtId="0" fontId="8" fillId="0" borderId="12" xfId="51" applyFont="1" applyBorder="1" applyAlignment="1" applyProtection="1">
      <alignment horizontal="center" vertical="center"/>
      <protection hidden="1"/>
    </xf>
    <xf numFmtId="0" fontId="8" fillId="0" borderId="13" xfId="51" applyFont="1" applyBorder="1" applyAlignment="1" applyProtection="1">
      <alignment horizontal="center" vertical="center"/>
      <protection hidden="1"/>
    </xf>
    <xf numFmtId="0" fontId="8" fillId="0" borderId="14" xfId="51" applyFont="1" applyBorder="1" applyAlignment="1" applyProtection="1">
      <alignment horizontal="center" vertical="center"/>
      <protection hidden="1"/>
    </xf>
    <xf numFmtId="0" fontId="7" fillId="0" borderId="15" xfId="51" applyFont="1" applyBorder="1" applyAlignment="1" applyProtection="1">
      <alignment horizontal="center" vertical="center" wrapText="1"/>
      <protection hidden="1"/>
    </xf>
    <xf numFmtId="0" fontId="7" fillId="0" borderId="16" xfId="51" applyFont="1" applyBorder="1" applyAlignment="1" applyProtection="1">
      <alignment horizontal="left" vertical="center"/>
      <protection/>
    </xf>
    <xf numFmtId="0" fontId="7" fillId="0" borderId="16" xfId="51" applyFont="1" applyBorder="1" applyAlignment="1" applyProtection="1">
      <alignment vertical="center"/>
      <protection hidden="1"/>
    </xf>
    <xf numFmtId="3" fontId="5" fillId="0" borderId="16" xfId="51" applyNumberFormat="1" applyFont="1" applyFill="1" applyBorder="1" applyAlignment="1" applyProtection="1">
      <alignment horizontal="center" vertical="center"/>
      <protection hidden="1"/>
    </xf>
    <xf numFmtId="165" fontId="9" fillId="0" borderId="33" xfId="51" applyNumberFormat="1" applyFont="1" applyBorder="1" applyAlignment="1" applyProtection="1">
      <alignment horizontal="center" vertical="center"/>
      <protection hidden="1"/>
    </xf>
    <xf numFmtId="165" fontId="9" fillId="0" borderId="31" xfId="51" applyNumberFormat="1" applyFont="1" applyBorder="1" applyAlignment="1" applyProtection="1">
      <alignment horizontal="center" vertical="center"/>
      <protection hidden="1"/>
    </xf>
    <xf numFmtId="3" fontId="5" fillId="2" borderId="16" xfId="51" applyNumberFormat="1" applyFont="1" applyFill="1" applyBorder="1" applyAlignment="1" applyProtection="1">
      <alignment horizontal="center" vertical="center"/>
      <protection hidden="1"/>
    </xf>
    <xf numFmtId="165" fontId="9" fillId="0" borderId="32" xfId="51" applyNumberFormat="1" applyFont="1" applyBorder="1" applyAlignment="1" applyProtection="1">
      <alignment horizontal="center" vertical="center"/>
      <protection hidden="1"/>
    </xf>
    <xf numFmtId="3" fontId="5" fillId="7" borderId="16" xfId="51" applyNumberFormat="1" applyFont="1" applyFill="1" applyBorder="1" applyAlignment="1" applyProtection="1">
      <alignment horizontal="center" vertical="center"/>
      <protection hidden="1"/>
    </xf>
    <xf numFmtId="16" fontId="6" fillId="0" borderId="17" xfId="51" applyNumberFormat="1" applyFont="1" applyBorder="1" applyAlignment="1" applyProtection="1" quotePrefix="1">
      <alignment horizontal="left" vertical="center"/>
      <protection hidden="1"/>
    </xf>
    <xf numFmtId="0" fontId="6" fillId="0" borderId="17" xfId="51" applyFont="1" applyBorder="1" applyAlignment="1" applyProtection="1">
      <alignment vertical="center"/>
      <protection hidden="1"/>
    </xf>
    <xf numFmtId="3" fontId="2" fillId="0" borderId="17" xfId="51" applyNumberFormat="1" applyFont="1" applyFill="1" applyBorder="1" applyAlignment="1" applyProtection="1">
      <alignment horizontal="center" vertical="center"/>
      <protection hidden="1"/>
    </xf>
    <xf numFmtId="165" fontId="3" fillId="0" borderId="38" xfId="51" applyNumberFormat="1" applyFont="1" applyBorder="1" applyAlignment="1" applyProtection="1">
      <alignment horizontal="center" vertical="center"/>
      <protection hidden="1"/>
    </xf>
    <xf numFmtId="165" fontId="3" fillId="0" borderId="22" xfId="51" applyNumberFormat="1" applyFont="1" applyBorder="1" applyAlignment="1" applyProtection="1">
      <alignment horizontal="center" vertical="center"/>
      <protection hidden="1"/>
    </xf>
    <xf numFmtId="165" fontId="3" fillId="0" borderId="37" xfId="51" applyNumberFormat="1" applyFont="1" applyBorder="1" applyAlignment="1" applyProtection="1">
      <alignment horizontal="center" vertical="center"/>
      <protection hidden="1"/>
    </xf>
    <xf numFmtId="3" fontId="2" fillId="2" borderId="17" xfId="51" applyNumberFormat="1" applyFont="1" applyFill="1" applyBorder="1" applyAlignment="1" applyProtection="1">
      <alignment horizontal="center" vertical="center"/>
      <protection hidden="1"/>
    </xf>
    <xf numFmtId="3" fontId="2" fillId="7" borderId="17" xfId="51" applyNumberFormat="1" applyFont="1" applyFill="1" applyBorder="1" applyAlignment="1" applyProtection="1">
      <alignment horizontal="center" vertical="center"/>
      <protection hidden="1"/>
    </xf>
    <xf numFmtId="0" fontId="6" fillId="0" borderId="18" xfId="51" applyFont="1" applyBorder="1" applyAlignment="1" applyProtection="1">
      <alignment vertical="center"/>
      <protection hidden="1"/>
    </xf>
    <xf numFmtId="165" fontId="3" fillId="0" borderId="41" xfId="51" applyNumberFormat="1" applyFont="1" applyBorder="1" applyAlignment="1" applyProtection="1">
      <alignment horizontal="center" vertical="center"/>
      <protection hidden="1"/>
    </xf>
    <xf numFmtId="165" fontId="3" fillId="0" borderId="42" xfId="51" applyNumberFormat="1" applyFont="1" applyBorder="1" applyAlignment="1" applyProtection="1">
      <alignment horizontal="center" vertical="center"/>
      <protection hidden="1"/>
    </xf>
    <xf numFmtId="165" fontId="3" fillId="0" borderId="43" xfId="51" applyNumberFormat="1" applyFont="1" applyBorder="1" applyAlignment="1" applyProtection="1">
      <alignment horizontal="center" vertical="center"/>
      <protection hidden="1"/>
    </xf>
    <xf numFmtId="0" fontId="7" fillId="0" borderId="19" xfId="51" applyFont="1" applyBorder="1" applyAlignment="1" applyProtection="1">
      <alignment horizontal="left" vertical="center"/>
      <protection locked="0"/>
    </xf>
    <xf numFmtId="0" fontId="7" fillId="0" borderId="20" xfId="51" applyFont="1" applyBorder="1" applyAlignment="1" applyProtection="1">
      <alignment vertical="center"/>
      <protection hidden="1"/>
    </xf>
    <xf numFmtId="165" fontId="5" fillId="0" borderId="19" xfId="51" applyNumberFormat="1" applyFont="1" applyFill="1" applyBorder="1" applyAlignment="1" applyProtection="1">
      <alignment horizontal="center" vertical="center"/>
      <protection hidden="1"/>
    </xf>
    <xf numFmtId="165" fontId="9" fillId="0" borderId="48" xfId="51" applyNumberFormat="1" applyFont="1" applyBorder="1" applyAlignment="1" applyProtection="1">
      <alignment horizontal="center" vertical="center"/>
      <protection hidden="1"/>
    </xf>
    <xf numFmtId="165" fontId="9" fillId="0" borderId="47" xfId="51" applyNumberFormat="1" applyFont="1" applyBorder="1" applyAlignment="1" applyProtection="1">
      <alignment horizontal="center" vertical="center"/>
      <protection hidden="1"/>
    </xf>
    <xf numFmtId="165" fontId="5" fillId="3" borderId="48" xfId="51" applyNumberFormat="1" applyFont="1" applyFill="1" applyBorder="1" applyAlignment="1" applyProtection="1">
      <alignment horizontal="center" vertical="center"/>
      <protection hidden="1"/>
    </xf>
    <xf numFmtId="165" fontId="9" fillId="0" borderId="49" xfId="51" applyNumberFormat="1" applyFont="1" applyBorder="1" applyAlignment="1" applyProtection="1">
      <alignment horizontal="center" vertical="center"/>
      <protection hidden="1"/>
    </xf>
    <xf numFmtId="165" fontId="5" fillId="2" borderId="19" xfId="51" applyNumberFormat="1" applyFont="1" applyFill="1" applyBorder="1" applyAlignment="1" applyProtection="1">
      <alignment horizontal="center" vertical="center"/>
      <protection hidden="1"/>
    </xf>
    <xf numFmtId="0" fontId="7" fillId="0" borderId="50" xfId="51" applyFont="1" applyBorder="1" applyAlignment="1" applyProtection="1">
      <alignment horizontal="left" vertical="center"/>
      <protection locked="0"/>
    </xf>
    <xf numFmtId="0" fontId="7" fillId="0" borderId="51" xfId="51" applyFont="1" applyBorder="1" applyAlignment="1" applyProtection="1">
      <alignment vertical="center"/>
      <protection hidden="1"/>
    </xf>
    <xf numFmtId="165" fontId="5" fillId="0" borderId="50" xfId="51" applyNumberFormat="1" applyFont="1" applyFill="1" applyBorder="1" applyAlignment="1" applyProtection="1">
      <alignment horizontal="center" vertical="center"/>
      <protection hidden="1"/>
    </xf>
    <xf numFmtId="165" fontId="9" fillId="0" borderId="55" xfId="51" applyNumberFormat="1" applyFont="1" applyBorder="1" applyAlignment="1" applyProtection="1">
      <alignment horizontal="center" vertical="center"/>
      <protection hidden="1"/>
    </xf>
    <xf numFmtId="165" fontId="9" fillId="0" borderId="56" xfId="51" applyNumberFormat="1" applyFont="1" applyBorder="1" applyAlignment="1" applyProtection="1">
      <alignment horizontal="center" vertical="center"/>
      <protection hidden="1"/>
    </xf>
    <xf numFmtId="165" fontId="9" fillId="0" borderId="57" xfId="51" applyNumberFormat="1" applyFont="1" applyBorder="1" applyAlignment="1" applyProtection="1">
      <alignment horizontal="center" vertical="center"/>
      <protection hidden="1"/>
    </xf>
    <xf numFmtId="165" fontId="5" fillId="3" borderId="57" xfId="51" applyNumberFormat="1" applyFont="1" applyFill="1" applyBorder="1" applyAlignment="1" applyProtection="1">
      <alignment horizontal="center" vertical="center"/>
      <protection hidden="1"/>
    </xf>
    <xf numFmtId="165" fontId="5" fillId="2" borderId="50" xfId="51" applyNumberFormat="1" applyFont="1" applyFill="1" applyBorder="1" applyAlignment="1" applyProtection="1">
      <alignment horizontal="center" vertical="center"/>
      <protection hidden="1"/>
    </xf>
    <xf numFmtId="0" fontId="7" fillId="0" borderId="21" xfId="51" applyFont="1" applyBorder="1" applyAlignment="1" applyProtection="1">
      <alignment horizontal="left" vertical="center"/>
      <protection locked="0"/>
    </xf>
    <xf numFmtId="0" fontId="7" fillId="0" borderId="21" xfId="51" applyFont="1" applyBorder="1" applyAlignment="1" applyProtection="1">
      <alignment vertical="center"/>
      <protection hidden="1"/>
    </xf>
    <xf numFmtId="3" fontId="9" fillId="0" borderId="61" xfId="51" applyNumberFormat="1" applyFont="1" applyBorder="1" applyAlignment="1" applyProtection="1">
      <alignment horizontal="center" vertical="center"/>
      <protection hidden="1"/>
    </xf>
    <xf numFmtId="3" fontId="9" fillId="0" borderId="21" xfId="51" applyNumberFormat="1" applyFont="1" applyFill="1" applyBorder="1" applyAlignment="1" applyProtection="1">
      <alignment horizontal="center" vertical="center"/>
      <protection hidden="1"/>
    </xf>
    <xf numFmtId="3" fontId="9" fillId="0" borderId="62" xfId="51" applyNumberFormat="1" applyFont="1" applyBorder="1" applyAlignment="1" applyProtection="1">
      <alignment horizontal="center" vertical="center"/>
      <protection hidden="1"/>
    </xf>
    <xf numFmtId="3" fontId="9" fillId="0" borderId="63" xfId="51" applyNumberFormat="1" applyFont="1" applyBorder="1" applyAlignment="1" applyProtection="1">
      <alignment horizontal="center" vertical="center"/>
      <protection hidden="1"/>
    </xf>
    <xf numFmtId="3" fontId="5" fillId="2" borderId="21" xfId="51" applyNumberFormat="1" applyFont="1" applyFill="1" applyBorder="1" applyAlignment="1" applyProtection="1">
      <alignment horizontal="center" vertical="center"/>
      <protection hidden="1"/>
    </xf>
    <xf numFmtId="0" fontId="7" fillId="18" borderId="21" xfId="51" applyFont="1" applyFill="1" applyBorder="1" applyAlignment="1" applyProtection="1">
      <alignment horizontal="left" vertical="center"/>
      <protection locked="0"/>
    </xf>
    <xf numFmtId="0" fontId="7" fillId="18" borderId="21" xfId="51" applyFont="1" applyFill="1" applyBorder="1" applyAlignment="1" applyProtection="1">
      <alignment vertical="center"/>
      <protection hidden="1"/>
    </xf>
    <xf numFmtId="3" fontId="9" fillId="18" borderId="22" xfId="51" applyNumberFormat="1" applyFont="1" applyFill="1" applyBorder="1" applyAlignment="1" applyProtection="1">
      <alignment horizontal="center" vertical="center"/>
      <protection hidden="1"/>
    </xf>
    <xf numFmtId="3" fontId="9" fillId="18" borderId="37" xfId="51" applyNumberFormat="1" applyFont="1" applyFill="1" applyBorder="1" applyAlignment="1" applyProtection="1">
      <alignment horizontal="center" vertical="center"/>
      <protection hidden="1"/>
    </xf>
    <xf numFmtId="3" fontId="9" fillId="18" borderId="17" xfId="51" applyNumberFormat="1" applyFont="1" applyFill="1" applyBorder="1" applyAlignment="1" applyProtection="1">
      <alignment horizontal="center" vertical="center"/>
      <protection hidden="1"/>
    </xf>
    <xf numFmtId="3" fontId="9" fillId="18" borderId="38" xfId="51" applyNumberFormat="1" applyFont="1" applyFill="1" applyBorder="1" applyAlignment="1" applyProtection="1">
      <alignment horizontal="center" vertical="center"/>
      <protection hidden="1"/>
    </xf>
    <xf numFmtId="3" fontId="5" fillId="18" borderId="17" xfId="51" applyNumberFormat="1" applyFont="1" applyFill="1" applyBorder="1" applyAlignment="1" applyProtection="1">
      <alignment horizontal="center" vertical="center"/>
      <protection hidden="1"/>
    </xf>
    <xf numFmtId="3" fontId="5" fillId="18" borderId="34" xfId="51" applyNumberFormat="1" applyFont="1" applyFill="1" applyBorder="1" applyAlignment="1" applyProtection="1">
      <alignment horizontal="center" vertical="center"/>
      <protection hidden="1"/>
    </xf>
    <xf numFmtId="14" fontId="10" fillId="12" borderId="21" xfId="51" applyNumberFormat="1" applyFont="1" applyFill="1" applyBorder="1" applyAlignment="1" applyProtection="1" quotePrefix="1">
      <alignment horizontal="left" vertical="center"/>
      <protection locked="0"/>
    </xf>
    <xf numFmtId="0" fontId="7" fillId="12" borderId="21" xfId="51" applyFont="1" applyFill="1" applyBorder="1" applyAlignment="1" applyProtection="1">
      <alignment vertical="center"/>
      <protection hidden="1"/>
    </xf>
    <xf numFmtId="3" fontId="9" fillId="12" borderId="22" xfId="51" applyNumberFormat="1" applyFont="1" applyFill="1" applyBorder="1" applyAlignment="1" applyProtection="1">
      <alignment horizontal="center" vertical="center"/>
      <protection hidden="1"/>
    </xf>
    <xf numFmtId="3" fontId="9" fillId="12" borderId="17" xfId="51" applyNumberFormat="1" applyFont="1" applyFill="1" applyBorder="1" applyAlignment="1" applyProtection="1">
      <alignment horizontal="center" vertical="center"/>
      <protection hidden="1"/>
    </xf>
    <xf numFmtId="3" fontId="9" fillId="12" borderId="38" xfId="51" applyNumberFormat="1" applyFont="1" applyFill="1" applyBorder="1" applyAlignment="1" applyProtection="1">
      <alignment horizontal="center" vertical="center"/>
      <protection hidden="1"/>
    </xf>
    <xf numFmtId="3" fontId="9" fillId="12" borderId="37" xfId="51" applyNumberFormat="1" applyFont="1" applyFill="1" applyBorder="1" applyAlignment="1" applyProtection="1">
      <alignment horizontal="center" vertical="center"/>
      <protection hidden="1"/>
    </xf>
    <xf numFmtId="3" fontId="5" fillId="12" borderId="34" xfId="51" applyNumberFormat="1" applyFont="1" applyFill="1" applyBorder="1" applyAlignment="1" applyProtection="1">
      <alignment horizontal="center" vertical="center"/>
      <protection hidden="1"/>
    </xf>
    <xf numFmtId="3" fontId="5" fillId="12" borderId="17" xfId="51" applyNumberFormat="1" applyFont="1" applyFill="1" applyBorder="1" applyAlignment="1" applyProtection="1">
      <alignment horizontal="center" vertical="center"/>
      <protection hidden="1"/>
    </xf>
    <xf numFmtId="14" fontId="7" fillId="18" borderId="21" xfId="51" applyNumberFormat="1" applyFont="1" applyFill="1" applyBorder="1" applyAlignment="1" applyProtection="1">
      <alignment horizontal="left" vertical="center"/>
      <protection hidden="1"/>
    </xf>
    <xf numFmtId="0" fontId="3" fillId="0" borderId="0" xfId="51" applyFont="1" applyAlignment="1" applyProtection="1">
      <alignment vertical="center"/>
      <protection locked="0"/>
    </xf>
    <xf numFmtId="14" fontId="10" fillId="12" borderId="21" xfId="51" applyNumberFormat="1" applyFont="1" applyFill="1" applyBorder="1" applyAlignment="1" applyProtection="1" quotePrefix="1">
      <alignment horizontal="left" vertical="center"/>
      <protection hidden="1"/>
    </xf>
    <xf numFmtId="0" fontId="7" fillId="12" borderId="21" xfId="51" applyFont="1" applyFill="1" applyBorder="1" applyAlignment="1" applyProtection="1">
      <alignment vertical="center" wrapText="1"/>
      <protection hidden="1"/>
    </xf>
    <xf numFmtId="0" fontId="2" fillId="0" borderId="0" xfId="51" applyFont="1" applyAlignment="1" applyProtection="1">
      <alignment horizontal="left" vertical="center"/>
      <protection locked="0"/>
    </xf>
    <xf numFmtId="165" fontId="2" fillId="0" borderId="0" xfId="51" applyNumberFormat="1" applyFont="1" applyAlignment="1" applyProtection="1">
      <alignment vertical="center"/>
      <protection locked="0"/>
    </xf>
    <xf numFmtId="165" fontId="3" fillId="0" borderId="0" xfId="51" applyNumberFormat="1" applyFont="1" applyAlignment="1" applyProtection="1">
      <alignment vertical="center"/>
      <protection locked="0"/>
    </xf>
    <xf numFmtId="3" fontId="0" fillId="12" borderId="17" xfId="53" applyNumberFormat="1" applyFont="1" applyFill="1" applyBorder="1" applyAlignment="1" applyProtection="1">
      <alignment horizontal="center" vertical="center"/>
      <protection hidden="1"/>
    </xf>
    <xf numFmtId="0" fontId="7" fillId="18" borderId="94" xfId="0" applyFont="1" applyFill="1" applyBorder="1" applyAlignment="1" applyProtection="1">
      <alignment vertical="center"/>
      <protection hidden="1"/>
    </xf>
    <xf numFmtId="0" fontId="6" fillId="12" borderId="21" xfId="0" applyFont="1" applyFill="1" applyBorder="1" applyAlignment="1" applyProtection="1">
      <alignment vertical="center"/>
      <protection hidden="1"/>
    </xf>
    <xf numFmtId="0" fontId="13" fillId="18" borderId="68" xfId="53" applyFont="1" applyFill="1" applyBorder="1" applyAlignment="1">
      <alignment vertical="center" wrapText="1"/>
      <protection/>
    </xf>
    <xf numFmtId="0" fontId="20" fillId="18" borderId="21" xfId="53" applyFont="1" applyFill="1" applyBorder="1" applyAlignment="1" applyProtection="1">
      <alignment vertical="center"/>
      <protection hidden="1"/>
    </xf>
    <xf numFmtId="0" fontId="20" fillId="18" borderId="68" xfId="53" applyFont="1" applyFill="1" applyBorder="1" applyAlignment="1" applyProtection="1">
      <alignment vertical="center"/>
      <protection hidden="1"/>
    </xf>
    <xf numFmtId="0" fontId="10" fillId="18" borderId="68" xfId="53" applyFont="1" applyFill="1" applyBorder="1" applyAlignment="1">
      <alignment vertical="center" wrapText="1"/>
      <protection/>
    </xf>
    <xf numFmtId="0" fontId="10" fillId="12" borderId="21" xfId="0" applyFont="1" applyFill="1" applyBorder="1" applyAlignment="1" applyProtection="1">
      <alignment vertical="center"/>
      <protection hidden="1"/>
    </xf>
    <xf numFmtId="0" fontId="10" fillId="12" borderId="21" xfId="0" applyFont="1" applyFill="1" applyBorder="1" applyAlignment="1" applyProtection="1">
      <alignment vertical="center" wrapText="1"/>
      <protection hidden="1"/>
    </xf>
    <xf numFmtId="2" fontId="15" fillId="18" borderId="65" xfId="53" applyNumberFormat="1" applyFont="1" applyFill="1" applyBorder="1" applyAlignment="1">
      <alignment vertical="center" wrapText="1"/>
      <protection/>
    </xf>
    <xf numFmtId="0" fontId="10" fillId="0" borderId="22" xfId="0" applyFont="1" applyBorder="1" applyAlignment="1" applyProtection="1">
      <alignment vertical="center"/>
      <protection locked="0"/>
    </xf>
    <xf numFmtId="2" fontId="15" fillId="2" borderId="17" xfId="53" applyNumberFormat="1" applyFont="1" applyFill="1" applyBorder="1" applyAlignment="1" applyProtection="1">
      <alignment vertical="center"/>
      <protection locked="0"/>
    </xf>
    <xf numFmtId="3" fontId="14" fillId="2" borderId="17" xfId="53" applyNumberFormat="1" applyFont="1" applyFill="1" applyBorder="1" applyAlignment="1" applyProtection="1">
      <alignment vertical="center"/>
      <protection locked="0"/>
    </xf>
    <xf numFmtId="14" fontId="8" fillId="18" borderId="21" xfId="53" applyNumberFormat="1" applyFont="1" applyFill="1" applyBorder="1" applyAlignment="1" applyProtection="1">
      <alignment horizontal="left" vertical="center"/>
      <protection locked="0"/>
    </xf>
    <xf numFmtId="0" fontId="15" fillId="18" borderId="0" xfId="53" applyFont="1" applyFill="1" applyBorder="1" applyAlignment="1">
      <alignment vertical="center" wrapText="1"/>
      <protection/>
    </xf>
    <xf numFmtId="3" fontId="9" fillId="12" borderId="93" xfId="53" applyNumberFormat="1" applyFont="1" applyFill="1" applyBorder="1" applyAlignment="1" applyProtection="1">
      <alignment horizontal="center" vertical="center"/>
      <protection hidden="1"/>
    </xf>
    <xf numFmtId="164" fontId="9" fillId="12" borderId="0" xfId="53" applyNumberFormat="1" applyFont="1" applyFill="1" applyBorder="1" applyAlignment="1" applyProtection="1">
      <alignment horizontal="center" vertical="center"/>
      <protection hidden="1"/>
    </xf>
    <xf numFmtId="3" fontId="9" fillId="12" borderId="78" xfId="53" applyNumberFormat="1" applyFont="1" applyFill="1" applyBorder="1" applyAlignment="1" applyProtection="1">
      <alignment horizontal="center" vertical="center"/>
      <protection hidden="1"/>
    </xf>
    <xf numFmtId="3" fontId="9" fillId="12" borderId="39" xfId="53" applyNumberFormat="1" applyFont="1" applyFill="1" applyBorder="1" applyAlignment="1" applyProtection="1">
      <alignment horizontal="center" vertical="center"/>
      <protection hidden="1"/>
    </xf>
    <xf numFmtId="3" fontId="9" fillId="12" borderId="18" xfId="53" applyNumberFormat="1" applyFont="1" applyFill="1" applyBorder="1" applyAlignment="1" applyProtection="1">
      <alignment horizontal="center" vertical="center"/>
      <protection hidden="1"/>
    </xf>
    <xf numFmtId="3" fontId="9" fillId="5" borderId="39" xfId="53" applyNumberFormat="1" applyFont="1" applyFill="1" applyBorder="1" applyAlignment="1" applyProtection="1">
      <alignment horizontal="center" vertical="center"/>
      <protection hidden="1"/>
    </xf>
    <xf numFmtId="3" fontId="5" fillId="0" borderId="0" xfId="53" applyNumberFormat="1" applyFont="1" applyAlignment="1" applyProtection="1">
      <alignment vertical="center"/>
      <protection locked="0"/>
    </xf>
    <xf numFmtId="49" fontId="15" fillId="18" borderId="65" xfId="53" applyNumberFormat="1" applyFont="1" applyFill="1" applyBorder="1" applyAlignment="1">
      <alignment vertical="center" wrapText="1"/>
      <protection/>
    </xf>
    <xf numFmtId="49" fontId="10" fillId="18" borderId="65" xfId="53" applyNumberFormat="1" applyFont="1" applyFill="1" applyBorder="1" applyAlignment="1">
      <alignment vertical="center" wrapText="1"/>
      <protection/>
    </xf>
    <xf numFmtId="0" fontId="15" fillId="18" borderId="65" xfId="53" applyNumberFormat="1" applyFont="1" applyFill="1" applyBorder="1" applyAlignment="1">
      <alignment vertical="center" wrapText="1"/>
      <protection/>
    </xf>
    <xf numFmtId="3" fontId="3" fillId="2" borderId="0" xfId="53" applyNumberFormat="1" applyFont="1" applyFill="1" applyAlignment="1" applyProtection="1">
      <alignment vertical="center"/>
      <protection locked="0"/>
    </xf>
    <xf numFmtId="1" fontId="22" fillId="0" borderId="22" xfId="53" applyNumberFormat="1" applyFont="1" applyFill="1" applyBorder="1" applyAlignment="1" applyProtection="1">
      <alignment vertical="center"/>
      <protection locked="0"/>
    </xf>
    <xf numFmtId="1" fontId="22" fillId="0" borderId="22" xfId="53" applyNumberFormat="1" applyFont="1" applyFill="1" applyBorder="1" applyAlignment="1" applyProtection="1">
      <alignment vertical="center"/>
      <protection hidden="1"/>
    </xf>
    <xf numFmtId="1" fontId="14" fillId="2" borderId="34" xfId="53" applyNumberFormat="1" applyFont="1" applyFill="1" applyBorder="1" applyAlignment="1" applyProtection="1">
      <alignment vertical="center"/>
      <protection locked="0"/>
    </xf>
    <xf numFmtId="1" fontId="15" fillId="0" borderId="22" xfId="53" applyNumberFormat="1" applyFont="1" applyFill="1" applyBorder="1" applyAlignment="1" applyProtection="1">
      <alignment vertical="center"/>
      <protection hidden="1"/>
    </xf>
    <xf numFmtId="1" fontId="14" fillId="2" borderId="34" xfId="53" applyNumberFormat="1" applyFont="1" applyFill="1" applyBorder="1" applyAlignment="1" applyProtection="1">
      <alignment vertical="center"/>
      <protection hidden="1"/>
    </xf>
    <xf numFmtId="1" fontId="15" fillId="0" borderId="22" xfId="53" applyNumberFormat="1" applyFont="1" applyFill="1" applyBorder="1" applyAlignment="1" applyProtection="1">
      <alignment vertical="center"/>
      <protection locked="0"/>
    </xf>
    <xf numFmtId="1" fontId="21" fillId="0" borderId="22" xfId="53" applyNumberFormat="1" applyFont="1" applyFill="1" applyBorder="1" applyAlignment="1" applyProtection="1">
      <alignment vertical="center"/>
      <protection locked="0"/>
    </xf>
    <xf numFmtId="14" fontId="7" fillId="5" borderId="21" xfId="51" applyNumberFormat="1" applyFont="1" applyFill="1" applyBorder="1" applyAlignment="1" applyProtection="1">
      <alignment horizontal="left" vertical="center"/>
      <protection hidden="1"/>
    </xf>
    <xf numFmtId="0" fontId="7" fillId="5" borderId="21" xfId="51" applyFont="1" applyFill="1" applyBorder="1" applyAlignment="1" applyProtection="1">
      <alignment vertical="center"/>
      <protection hidden="1"/>
    </xf>
    <xf numFmtId="3" fontId="9" fillId="5" borderId="22" xfId="51" applyNumberFormat="1" applyFont="1" applyFill="1" applyBorder="1" applyAlignment="1" applyProtection="1">
      <alignment horizontal="center" vertical="center"/>
      <protection hidden="1"/>
    </xf>
    <xf numFmtId="3" fontId="9" fillId="5" borderId="17" xfId="51" applyNumberFormat="1" applyFont="1" applyFill="1" applyBorder="1" applyAlignment="1" applyProtection="1">
      <alignment horizontal="center" vertical="center"/>
      <protection hidden="1"/>
    </xf>
    <xf numFmtId="3" fontId="9" fillId="5" borderId="38" xfId="51" applyNumberFormat="1" applyFont="1" applyFill="1" applyBorder="1" applyAlignment="1" applyProtection="1">
      <alignment horizontal="center" vertical="center"/>
      <protection hidden="1"/>
    </xf>
    <xf numFmtId="3" fontId="9" fillId="5" borderId="37" xfId="51" applyNumberFormat="1" applyFont="1" applyFill="1" applyBorder="1" applyAlignment="1" applyProtection="1">
      <alignment horizontal="center" vertical="center"/>
      <protection hidden="1"/>
    </xf>
    <xf numFmtId="3" fontId="5" fillId="5" borderId="34" xfId="51" applyNumberFormat="1" applyFont="1" applyFill="1" applyBorder="1" applyAlignment="1" applyProtection="1">
      <alignment horizontal="center" vertical="center"/>
      <protection hidden="1"/>
    </xf>
    <xf numFmtId="3" fontId="5" fillId="5" borderId="17" xfId="51" applyNumberFormat="1" applyFont="1" applyFill="1" applyBorder="1" applyAlignment="1" applyProtection="1">
      <alignment horizontal="center" vertical="center"/>
      <protection hidden="1"/>
    </xf>
    <xf numFmtId="14" fontId="10" fillId="5" borderId="21" xfId="51" applyNumberFormat="1" applyFont="1" applyFill="1" applyBorder="1" applyAlignment="1" applyProtection="1" quotePrefix="1">
      <alignment horizontal="left" vertical="center"/>
      <protection hidden="1"/>
    </xf>
    <xf numFmtId="0" fontId="7" fillId="5" borderId="21" xfId="51" applyFont="1" applyFill="1" applyBorder="1" applyAlignment="1" applyProtection="1">
      <alignment vertical="center" wrapText="1"/>
      <protection hidden="1"/>
    </xf>
    <xf numFmtId="3" fontId="3" fillId="0" borderId="0" xfId="51" applyNumberFormat="1" applyFont="1" applyAlignment="1" applyProtection="1">
      <alignment vertical="center"/>
      <protection locked="0"/>
    </xf>
    <xf numFmtId="14" fontId="7" fillId="18" borderId="94" xfId="0" applyNumberFormat="1" applyFont="1" applyFill="1" applyBorder="1" applyAlignment="1" applyProtection="1" quotePrefix="1">
      <alignment horizontal="left" vertical="center"/>
      <protection hidden="1"/>
    </xf>
    <xf numFmtId="3" fontId="8" fillId="19" borderId="17" xfId="0" applyNumberFormat="1" applyFont="1" applyFill="1" applyBorder="1" applyAlignment="1" applyProtection="1">
      <alignment horizontal="center" vertical="center"/>
      <protection hidden="1"/>
    </xf>
    <xf numFmtId="3" fontId="8" fillId="19" borderId="38" xfId="0" applyNumberFormat="1" applyFont="1" applyFill="1" applyBorder="1" applyAlignment="1" applyProtection="1">
      <alignment horizontal="center" vertical="center"/>
      <protection hidden="1"/>
    </xf>
    <xf numFmtId="3" fontId="8" fillId="19" borderId="22" xfId="0" applyNumberFormat="1" applyFont="1" applyFill="1" applyBorder="1" applyAlignment="1" applyProtection="1">
      <alignment horizontal="center" vertical="center"/>
      <protection hidden="1"/>
    </xf>
    <xf numFmtId="3" fontId="8" fillId="19" borderId="37" xfId="0" applyNumberFormat="1" applyFont="1" applyFill="1" applyBorder="1" applyAlignment="1" applyProtection="1">
      <alignment horizontal="center" vertical="center"/>
      <protection hidden="1"/>
    </xf>
    <xf numFmtId="3" fontId="7" fillId="19" borderId="17" xfId="0" applyNumberFormat="1" applyFont="1" applyFill="1" applyBorder="1" applyAlignment="1" applyProtection="1">
      <alignment horizontal="center" vertical="center"/>
      <protection hidden="1"/>
    </xf>
    <xf numFmtId="3" fontId="8" fillId="18" borderId="17" xfId="0" applyNumberFormat="1" applyFont="1" applyFill="1" applyBorder="1" applyAlignment="1" applyProtection="1">
      <alignment horizontal="center" vertical="center"/>
      <protection hidden="1"/>
    </xf>
    <xf numFmtId="164" fontId="8" fillId="18" borderId="38" xfId="0" applyNumberFormat="1" applyFont="1" applyFill="1" applyBorder="1" applyAlignment="1" applyProtection="1">
      <alignment horizontal="center" vertical="center"/>
      <protection hidden="1"/>
    </xf>
    <xf numFmtId="164" fontId="8" fillId="18" borderId="22" xfId="0" applyNumberFormat="1" applyFont="1" applyFill="1" applyBorder="1" applyAlignment="1" applyProtection="1">
      <alignment horizontal="center" vertical="center"/>
      <protection hidden="1"/>
    </xf>
    <xf numFmtId="164" fontId="8" fillId="18" borderId="37" xfId="0" applyNumberFormat="1" applyFont="1" applyFill="1" applyBorder="1" applyAlignment="1" applyProtection="1">
      <alignment horizontal="center" vertical="center"/>
      <protection hidden="1"/>
    </xf>
    <xf numFmtId="164" fontId="7" fillId="18" borderId="17" xfId="0" applyNumberFormat="1" applyFont="1" applyFill="1" applyBorder="1" applyAlignment="1" applyProtection="1">
      <alignment horizontal="center" vertical="center"/>
      <protection hidden="1"/>
    </xf>
    <xf numFmtId="3" fontId="8" fillId="12" borderId="17" xfId="0" applyNumberFormat="1" applyFont="1" applyFill="1" applyBorder="1" applyAlignment="1" applyProtection="1">
      <alignment horizontal="center" vertical="center"/>
      <protection hidden="1"/>
    </xf>
    <xf numFmtId="164" fontId="8" fillId="12" borderId="38" xfId="0" applyNumberFormat="1" applyFont="1" applyFill="1" applyBorder="1" applyAlignment="1" applyProtection="1">
      <alignment horizontal="center" vertical="center"/>
      <protection hidden="1"/>
    </xf>
    <xf numFmtId="164" fontId="8" fillId="12" borderId="22" xfId="0" applyNumberFormat="1" applyFont="1" applyFill="1" applyBorder="1" applyAlignment="1" applyProtection="1">
      <alignment horizontal="center" vertical="center"/>
      <protection hidden="1"/>
    </xf>
    <xf numFmtId="164" fontId="8" fillId="12" borderId="37" xfId="0" applyNumberFormat="1" applyFont="1" applyFill="1" applyBorder="1" applyAlignment="1" applyProtection="1">
      <alignment horizontal="center" vertical="center"/>
      <protection hidden="1"/>
    </xf>
    <xf numFmtId="164" fontId="7" fillId="12" borderId="17" xfId="0" applyNumberFormat="1" applyFont="1" applyFill="1" applyBorder="1" applyAlignment="1" applyProtection="1">
      <alignment horizontal="center" vertical="center"/>
      <protection hidden="1"/>
    </xf>
    <xf numFmtId="3" fontId="8" fillId="18" borderId="18" xfId="0" applyNumberFormat="1" applyFont="1" applyFill="1" applyBorder="1" applyAlignment="1" applyProtection="1">
      <alignment horizontal="center" vertical="center"/>
      <protection hidden="1"/>
    </xf>
    <xf numFmtId="3" fontId="10" fillId="12" borderId="17" xfId="0" applyNumberFormat="1" applyFont="1" applyFill="1" applyBorder="1" applyAlignment="1" applyProtection="1">
      <alignment horizontal="center" vertical="center"/>
      <protection hidden="1"/>
    </xf>
    <xf numFmtId="164" fontId="10" fillId="12" borderId="38" xfId="0" applyNumberFormat="1" applyFont="1" applyFill="1" applyBorder="1" applyAlignment="1" applyProtection="1">
      <alignment horizontal="center" vertical="center"/>
      <protection hidden="1"/>
    </xf>
    <xf numFmtId="164" fontId="10" fillId="12" borderId="22" xfId="0" applyNumberFormat="1" applyFont="1" applyFill="1" applyBorder="1" applyAlignment="1" applyProtection="1">
      <alignment horizontal="center" vertical="center"/>
      <protection hidden="1"/>
    </xf>
    <xf numFmtId="164" fontId="10" fillId="12" borderId="37" xfId="0" applyNumberFormat="1" applyFont="1" applyFill="1" applyBorder="1" applyAlignment="1" applyProtection="1">
      <alignment horizontal="center" vertical="center"/>
      <protection hidden="1"/>
    </xf>
    <xf numFmtId="164" fontId="6" fillId="12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vertical="center"/>
      <protection hidden="1"/>
    </xf>
    <xf numFmtId="165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vertical="center"/>
      <protection locked="0"/>
    </xf>
    <xf numFmtId="3" fontId="10" fillId="12" borderId="38" xfId="0" applyNumberFormat="1" applyFont="1" applyFill="1" applyBorder="1" applyAlignment="1" applyProtection="1">
      <alignment horizontal="center" vertical="center"/>
      <protection hidden="1"/>
    </xf>
    <xf numFmtId="3" fontId="10" fillId="12" borderId="22" xfId="0" applyNumberFormat="1" applyFont="1" applyFill="1" applyBorder="1" applyAlignment="1" applyProtection="1">
      <alignment horizontal="center" vertical="center"/>
      <protection hidden="1"/>
    </xf>
    <xf numFmtId="3" fontId="10" fillId="12" borderId="37" xfId="0" applyNumberFormat="1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95" xfId="0" applyFont="1" applyBorder="1" applyAlignment="1" applyProtection="1">
      <alignment vertical="center"/>
      <protection locked="0"/>
    </xf>
    <xf numFmtId="0" fontId="3" fillId="0" borderId="90" xfId="0" applyFont="1" applyBorder="1" applyAlignment="1" applyProtection="1">
      <alignment vertical="center"/>
      <protection locked="0"/>
    </xf>
    <xf numFmtId="0" fontId="3" fillId="0" borderId="96" xfId="0" applyFont="1" applyBorder="1" applyAlignment="1" applyProtection="1">
      <alignment vertical="center"/>
      <protection locked="0"/>
    </xf>
    <xf numFmtId="1" fontId="9" fillId="12" borderId="58" xfId="53" applyNumberFormat="1" applyFont="1" applyFill="1" applyBorder="1" applyAlignment="1" applyProtection="1">
      <alignment horizontal="center" vertical="center"/>
      <protection hidden="1"/>
    </xf>
    <xf numFmtId="1" fontId="9" fillId="12" borderId="59" xfId="53" applyNumberFormat="1" applyFont="1" applyFill="1" applyBorder="1" applyAlignment="1" applyProtection="1">
      <alignment horizontal="center" vertical="center"/>
      <protection hidden="1"/>
    </xf>
    <xf numFmtId="1" fontId="9" fillId="12" borderId="36" xfId="53" applyNumberFormat="1" applyFont="1" applyFill="1" applyBorder="1" applyAlignment="1" applyProtection="1">
      <alignment horizontal="center" vertical="center"/>
      <protection hidden="1"/>
    </xf>
    <xf numFmtId="1" fontId="9" fillId="12" borderId="22" xfId="53" applyNumberFormat="1" applyFont="1" applyFill="1" applyBorder="1" applyAlignment="1" applyProtection="1">
      <alignment horizontal="center" vertical="center"/>
      <protection hidden="1"/>
    </xf>
    <xf numFmtId="1" fontId="9" fillId="12" borderId="34" xfId="53" applyNumberFormat="1" applyFont="1" applyFill="1" applyBorder="1" applyAlignment="1" applyProtection="1">
      <alignment horizontal="center" vertical="center"/>
      <protection hidden="1"/>
    </xf>
    <xf numFmtId="1" fontId="9" fillId="12" borderId="17" xfId="53" applyNumberFormat="1" applyFont="1" applyFill="1" applyBorder="1" applyAlignment="1" applyProtection="1">
      <alignment horizontal="center" vertical="center"/>
      <protection hidden="1"/>
    </xf>
    <xf numFmtId="1" fontId="9" fillId="5" borderId="34" xfId="53" applyNumberFormat="1" applyFont="1" applyFill="1" applyBorder="1" applyAlignment="1" applyProtection="1">
      <alignment horizontal="center" vertical="center"/>
      <protection hidden="1"/>
    </xf>
    <xf numFmtId="2" fontId="10" fillId="12" borderId="21" xfId="0" applyNumberFormat="1" applyFont="1" applyFill="1" applyBorder="1" applyAlignment="1" applyProtection="1">
      <alignment vertical="center"/>
      <protection hidden="1"/>
    </xf>
    <xf numFmtId="165" fontId="3" fillId="0" borderId="22" xfId="0" applyNumberFormat="1" applyFont="1" applyBorder="1" applyAlignment="1" applyProtection="1">
      <alignment horizontal="center" vertical="center"/>
      <protection locked="0"/>
    </xf>
    <xf numFmtId="0" fontId="10" fillId="12" borderId="17" xfId="0" applyFont="1" applyFill="1" applyBorder="1" applyAlignment="1" applyProtection="1">
      <alignment vertical="center" wrapText="1"/>
      <protection locked="0"/>
    </xf>
    <xf numFmtId="165" fontId="6" fillId="12" borderId="17" xfId="0" applyNumberFormat="1" applyFont="1" applyFill="1" applyBorder="1" applyAlignment="1" applyProtection="1">
      <alignment vertical="center"/>
      <protection locked="0"/>
    </xf>
    <xf numFmtId="165" fontId="10" fillId="12" borderId="38" xfId="0" applyNumberFormat="1" applyFont="1" applyFill="1" applyBorder="1" applyAlignment="1" applyProtection="1">
      <alignment vertical="center"/>
      <protection locked="0"/>
    </xf>
    <xf numFmtId="0" fontId="6" fillId="12" borderId="17" xfId="0" applyFont="1" applyFill="1" applyBorder="1" applyAlignment="1" applyProtection="1">
      <alignment vertical="center"/>
      <protection locked="0"/>
    </xf>
    <xf numFmtId="0" fontId="10" fillId="12" borderId="17" xfId="0" applyFont="1" applyFill="1" applyBorder="1" applyAlignment="1" applyProtection="1">
      <alignment vertical="center"/>
      <protection locked="0"/>
    </xf>
    <xf numFmtId="0" fontId="10" fillId="12" borderId="38" xfId="0" applyFont="1" applyFill="1" applyBorder="1" applyAlignment="1" applyProtection="1">
      <alignment vertical="center"/>
      <protection locked="0"/>
    </xf>
    <xf numFmtId="3" fontId="6" fillId="12" borderId="17" xfId="0" applyNumberFormat="1" applyFont="1" applyFill="1" applyBorder="1" applyAlignment="1" applyProtection="1">
      <alignment vertical="center"/>
      <protection locked="0"/>
    </xf>
    <xf numFmtId="0" fontId="10" fillId="12" borderId="17" xfId="0" applyFont="1" applyFill="1" applyBorder="1" applyAlignment="1" applyProtection="1">
      <alignment vertical="center" wrapText="1"/>
      <protection hidden="1" locked="0"/>
    </xf>
    <xf numFmtId="49" fontId="10" fillId="12" borderId="21" xfId="0" applyNumberFormat="1" applyFont="1" applyFill="1" applyBorder="1" applyAlignment="1" applyProtection="1">
      <alignment vertical="center"/>
      <protection hidden="1"/>
    </xf>
    <xf numFmtId="0" fontId="10" fillId="12" borderId="21" xfId="0" applyFont="1" applyFill="1" applyBorder="1" applyAlignment="1" applyProtection="1">
      <alignment vertical="center" wrapText="1"/>
      <protection hidden="1" locked="0"/>
    </xf>
    <xf numFmtId="2" fontId="10" fillId="12" borderId="21" xfId="0" applyNumberFormat="1" applyFont="1" applyFill="1" applyBorder="1" applyAlignment="1" applyProtection="1">
      <alignment vertical="center" wrapText="1"/>
      <protection hidden="1"/>
    </xf>
    <xf numFmtId="165" fontId="9" fillId="2" borderId="33" xfId="0" applyNumberFormat="1" applyFont="1" applyFill="1" applyBorder="1" applyAlignment="1" applyProtection="1">
      <alignment horizontal="center" vertical="center"/>
      <protection hidden="1"/>
    </xf>
    <xf numFmtId="165" fontId="9" fillId="2" borderId="31" xfId="0" applyNumberFormat="1" applyFont="1" applyFill="1" applyBorder="1" applyAlignment="1" applyProtection="1">
      <alignment horizontal="center" vertical="center"/>
      <protection hidden="1"/>
    </xf>
    <xf numFmtId="3" fontId="5" fillId="2" borderId="16" xfId="0" applyNumberFormat="1" applyFont="1" applyFill="1" applyBorder="1" applyAlignment="1" applyProtection="1">
      <alignment horizontal="center" vertical="center"/>
      <protection hidden="1"/>
    </xf>
    <xf numFmtId="165" fontId="9" fillId="2" borderId="32" xfId="0" applyNumberFormat="1" applyFont="1" applyFill="1" applyBorder="1" applyAlignment="1" applyProtection="1">
      <alignment horizontal="center" vertical="center"/>
      <protection hidden="1"/>
    </xf>
    <xf numFmtId="165" fontId="3" fillId="2" borderId="38" xfId="0" applyNumberFormat="1" applyFont="1" applyFill="1" applyBorder="1" applyAlignment="1" applyProtection="1">
      <alignment horizontal="center" vertical="center"/>
      <protection hidden="1"/>
    </xf>
    <xf numFmtId="165" fontId="3" fillId="2" borderId="22" xfId="0" applyNumberFormat="1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3" fontId="2" fillId="2" borderId="17" xfId="0" applyNumberFormat="1" applyFont="1" applyFill="1" applyBorder="1" applyAlignment="1" applyProtection="1">
      <alignment horizontal="center" vertical="center"/>
      <protection hidden="1"/>
    </xf>
    <xf numFmtId="165" fontId="3" fillId="2" borderId="41" xfId="0" applyNumberFormat="1" applyFont="1" applyFill="1" applyBorder="1" applyAlignment="1" applyProtection="1">
      <alignment horizontal="center" vertical="center"/>
      <protection hidden="1"/>
    </xf>
    <xf numFmtId="165" fontId="3" fillId="2" borderId="42" xfId="0" applyNumberFormat="1" applyFont="1" applyFill="1" applyBorder="1" applyAlignment="1" applyProtection="1">
      <alignment horizontal="center" vertical="center"/>
      <protection hidden="1"/>
    </xf>
    <xf numFmtId="165" fontId="3" fillId="2" borderId="43" xfId="0" applyNumberFormat="1" applyFont="1" applyFill="1" applyBorder="1" applyAlignment="1" applyProtection="1">
      <alignment horizontal="center" vertical="center"/>
      <protection hidden="1"/>
    </xf>
    <xf numFmtId="165" fontId="9" fillId="2" borderId="48" xfId="0" applyNumberFormat="1" applyFont="1" applyFill="1" applyBorder="1" applyAlignment="1" applyProtection="1">
      <alignment horizontal="center" vertical="center"/>
      <protection hidden="1"/>
    </xf>
    <xf numFmtId="165" fontId="9" fillId="2" borderId="47" xfId="0" applyNumberFormat="1" applyFont="1" applyFill="1" applyBorder="1" applyAlignment="1" applyProtection="1">
      <alignment horizontal="center" vertical="center"/>
      <protection hidden="1"/>
    </xf>
    <xf numFmtId="165" fontId="5" fillId="2" borderId="48" xfId="0" applyNumberFormat="1" applyFont="1" applyFill="1" applyBorder="1" applyAlignment="1" applyProtection="1">
      <alignment horizontal="center" vertical="center"/>
      <protection hidden="1"/>
    </xf>
    <xf numFmtId="165" fontId="9" fillId="2" borderId="49" xfId="0" applyNumberFormat="1" applyFont="1" applyFill="1" applyBorder="1" applyAlignment="1" applyProtection="1">
      <alignment horizontal="center" vertical="center"/>
      <protection hidden="1"/>
    </xf>
    <xf numFmtId="165" fontId="5" fillId="2" borderId="19" xfId="0" applyNumberFormat="1" applyFont="1" applyFill="1" applyBorder="1" applyAlignment="1" applyProtection="1">
      <alignment horizontal="center" vertical="center"/>
      <protection hidden="1"/>
    </xf>
    <xf numFmtId="165" fontId="9" fillId="2" borderId="41" xfId="0" applyNumberFormat="1" applyFont="1" applyFill="1" applyBorder="1" applyAlignment="1" applyProtection="1">
      <alignment horizontal="center" vertical="center"/>
      <protection hidden="1"/>
    </xf>
    <xf numFmtId="165" fontId="9" fillId="2" borderId="42" xfId="0" applyNumberFormat="1" applyFont="1" applyFill="1" applyBorder="1" applyAlignment="1" applyProtection="1">
      <alignment horizontal="center" vertical="center"/>
      <protection hidden="1"/>
    </xf>
    <xf numFmtId="165" fontId="9" fillId="2" borderId="43" xfId="0" applyNumberFormat="1" applyFont="1" applyFill="1" applyBorder="1" applyAlignment="1" applyProtection="1">
      <alignment horizontal="center" vertical="center"/>
      <protection hidden="1"/>
    </xf>
    <xf numFmtId="165" fontId="5" fillId="2" borderId="43" xfId="0" applyNumberFormat="1" applyFont="1" applyFill="1" applyBorder="1" applyAlignment="1" applyProtection="1">
      <alignment horizontal="center" vertical="center"/>
      <protection hidden="1"/>
    </xf>
    <xf numFmtId="165" fontId="5" fillId="2" borderId="18" xfId="0" applyNumberFormat="1" applyFont="1" applyFill="1" applyBorder="1" applyAlignment="1" applyProtection="1">
      <alignment horizontal="center" vertical="center"/>
      <protection hidden="1"/>
    </xf>
    <xf numFmtId="3" fontId="8" fillId="2" borderId="33" xfId="0" applyNumberFormat="1" applyFont="1" applyFill="1" applyBorder="1" applyAlignment="1" applyProtection="1">
      <alignment horizontal="center" vertical="center"/>
      <protection hidden="1"/>
    </xf>
    <xf numFmtId="3" fontId="8" fillId="2" borderId="31" xfId="0" applyNumberFormat="1" applyFont="1" applyFill="1" applyBorder="1" applyAlignment="1" applyProtection="1">
      <alignment horizontal="center" vertical="center"/>
      <protection hidden="1"/>
    </xf>
    <xf numFmtId="3" fontId="8" fillId="2" borderId="32" xfId="0" applyNumberFormat="1" applyFont="1" applyFill="1" applyBorder="1" applyAlignment="1" applyProtection="1">
      <alignment horizontal="center" vertical="center"/>
      <protection hidden="1"/>
    </xf>
    <xf numFmtId="3" fontId="7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0" xfId="54">
      <alignment/>
      <protection/>
    </xf>
    <xf numFmtId="0" fontId="26" fillId="0" borderId="0" xfId="54" applyFont="1">
      <alignment/>
      <protection/>
    </xf>
    <xf numFmtId="0" fontId="6" fillId="0" borderId="10" xfId="54" applyFont="1" applyBorder="1" applyAlignment="1" applyProtection="1">
      <alignment horizontal="left" vertical="center"/>
      <protection hidden="1"/>
    </xf>
    <xf numFmtId="0" fontId="7" fillId="0" borderId="97" xfId="54" applyFont="1" applyBorder="1" applyAlignment="1" applyProtection="1">
      <alignment horizontal="center" vertical="center"/>
      <protection hidden="1"/>
    </xf>
    <xf numFmtId="0" fontId="6" fillId="0" borderId="11" xfId="54" applyFont="1" applyBorder="1" applyAlignment="1" applyProtection="1">
      <alignment horizontal="left" vertical="center"/>
      <protection hidden="1"/>
    </xf>
    <xf numFmtId="0" fontId="7" fillId="0" borderId="98" xfId="54" applyFont="1" applyBorder="1" applyAlignment="1" applyProtection="1">
      <alignment horizontal="center" vertical="center"/>
      <protection hidden="1"/>
    </xf>
    <xf numFmtId="0" fontId="8" fillId="0" borderId="12" xfId="54" applyFont="1" applyBorder="1" applyAlignment="1" applyProtection="1">
      <alignment horizontal="center" vertical="center"/>
      <protection hidden="1"/>
    </xf>
    <xf numFmtId="0" fontId="8" fillId="0" borderId="13" xfId="54" applyFont="1" applyBorder="1" applyAlignment="1" applyProtection="1">
      <alignment horizontal="center" vertical="center"/>
      <protection hidden="1"/>
    </xf>
    <xf numFmtId="0" fontId="8" fillId="0" borderId="14" xfId="54" applyFont="1" applyBorder="1" applyAlignment="1" applyProtection="1">
      <alignment horizontal="center" vertical="center"/>
      <protection hidden="1"/>
    </xf>
    <xf numFmtId="0" fontId="7" fillId="0" borderId="15" xfId="54" applyFont="1" applyBorder="1" applyAlignment="1" applyProtection="1">
      <alignment horizontal="center" vertical="center" wrapText="1"/>
      <protection hidden="1"/>
    </xf>
    <xf numFmtId="0" fontId="7" fillId="0" borderId="16" xfId="54" applyFont="1" applyBorder="1" applyAlignment="1" applyProtection="1">
      <alignment horizontal="left" vertical="center"/>
      <protection/>
    </xf>
    <xf numFmtId="0" fontId="7" fillId="0" borderId="77" xfId="54" applyFont="1" applyBorder="1" applyAlignment="1" applyProtection="1">
      <alignment vertical="center"/>
      <protection hidden="1"/>
    </xf>
    <xf numFmtId="3" fontId="5" fillId="0" borderId="16" xfId="54" applyNumberFormat="1" applyFont="1" applyFill="1" applyBorder="1" applyAlignment="1" applyProtection="1">
      <alignment horizontal="center" vertical="center"/>
      <protection hidden="1"/>
    </xf>
    <xf numFmtId="165" fontId="9" fillId="2" borderId="33" xfId="54" applyNumberFormat="1" applyFont="1" applyFill="1" applyBorder="1" applyAlignment="1" applyProtection="1">
      <alignment horizontal="center" vertical="center"/>
      <protection hidden="1"/>
    </xf>
    <xf numFmtId="165" fontId="9" fillId="2" borderId="31" xfId="54" applyNumberFormat="1" applyFont="1" applyFill="1" applyBorder="1" applyAlignment="1" applyProtection="1">
      <alignment horizontal="center" vertical="center"/>
      <protection hidden="1"/>
    </xf>
    <xf numFmtId="3" fontId="5" fillId="2" borderId="16" xfId="54" applyNumberFormat="1" applyFont="1" applyFill="1" applyBorder="1" applyAlignment="1" applyProtection="1">
      <alignment horizontal="center" vertical="center"/>
      <protection hidden="1"/>
    </xf>
    <xf numFmtId="165" fontId="9" fillId="2" borderId="32" xfId="54" applyNumberFormat="1" applyFont="1" applyFill="1" applyBorder="1" applyAlignment="1" applyProtection="1">
      <alignment horizontal="center" vertical="center"/>
      <protection hidden="1"/>
    </xf>
    <xf numFmtId="16" fontId="6" fillId="0" borderId="17" xfId="54" applyNumberFormat="1" applyFont="1" applyBorder="1" applyAlignment="1" applyProtection="1" quotePrefix="1">
      <alignment horizontal="left" vertical="center"/>
      <protection hidden="1"/>
    </xf>
    <xf numFmtId="0" fontId="6" fillId="0" borderId="65" xfId="54" applyFont="1" applyBorder="1" applyAlignment="1" applyProtection="1">
      <alignment vertical="center"/>
      <protection hidden="1"/>
    </xf>
    <xf numFmtId="3" fontId="2" fillId="0" borderId="17" xfId="54" applyNumberFormat="1" applyFont="1" applyFill="1" applyBorder="1" applyAlignment="1" applyProtection="1">
      <alignment horizontal="center" vertical="center"/>
      <protection hidden="1"/>
    </xf>
    <xf numFmtId="165" fontId="3" fillId="2" borderId="38" xfId="54" applyNumberFormat="1" applyFont="1" applyFill="1" applyBorder="1" applyAlignment="1" applyProtection="1">
      <alignment horizontal="center" vertical="center"/>
      <protection hidden="1"/>
    </xf>
    <xf numFmtId="165" fontId="3" fillId="2" borderId="22" xfId="54" applyNumberFormat="1" applyFont="1" applyFill="1" applyBorder="1" applyAlignment="1" applyProtection="1">
      <alignment horizontal="center" vertical="center"/>
      <protection hidden="1"/>
    </xf>
    <xf numFmtId="165" fontId="3" fillId="2" borderId="37" xfId="54" applyNumberFormat="1" applyFont="1" applyFill="1" applyBorder="1" applyAlignment="1" applyProtection="1">
      <alignment horizontal="center" vertical="center"/>
      <protection hidden="1"/>
    </xf>
    <xf numFmtId="3" fontId="2" fillId="2" borderId="17" xfId="54" applyNumberFormat="1" applyFont="1" applyFill="1" applyBorder="1" applyAlignment="1" applyProtection="1">
      <alignment horizontal="center" vertical="center"/>
      <protection hidden="1"/>
    </xf>
    <xf numFmtId="0" fontId="6" fillId="0" borderId="67" xfId="54" applyFont="1" applyBorder="1" applyAlignment="1" applyProtection="1">
      <alignment vertical="center"/>
      <protection hidden="1"/>
    </xf>
    <xf numFmtId="0" fontId="6" fillId="0" borderId="99" xfId="54" applyFont="1" applyBorder="1" applyAlignment="1" applyProtection="1">
      <alignment vertical="center"/>
      <protection hidden="1"/>
    </xf>
    <xf numFmtId="3" fontId="2" fillId="0" borderId="21" xfId="54" applyNumberFormat="1" applyFont="1" applyFill="1" applyBorder="1" applyAlignment="1" applyProtection="1">
      <alignment horizontal="center" vertical="center"/>
      <protection hidden="1"/>
    </xf>
    <xf numFmtId="165" fontId="3" fillId="2" borderId="62" xfId="54" applyNumberFormat="1" applyFont="1" applyFill="1" applyBorder="1" applyAlignment="1" applyProtection="1">
      <alignment horizontal="center" vertical="center"/>
      <protection hidden="1"/>
    </xf>
    <xf numFmtId="165" fontId="3" fillId="2" borderId="61" xfId="54" applyNumberFormat="1" applyFont="1" applyFill="1" applyBorder="1" applyAlignment="1" applyProtection="1">
      <alignment horizontal="center" vertical="center"/>
      <protection hidden="1"/>
    </xf>
    <xf numFmtId="165" fontId="3" fillId="2" borderId="63" xfId="54" applyNumberFormat="1" applyFont="1" applyFill="1" applyBorder="1" applyAlignment="1" applyProtection="1">
      <alignment horizontal="center" vertical="center"/>
      <protection hidden="1"/>
    </xf>
    <xf numFmtId="3" fontId="2" fillId="2" borderId="21" xfId="54" applyNumberFormat="1" applyFont="1" applyFill="1" applyBorder="1" applyAlignment="1" applyProtection="1">
      <alignment horizontal="center" vertical="center"/>
      <protection hidden="1"/>
    </xf>
    <xf numFmtId="0" fontId="7" fillId="0" borderId="16" xfId="54" applyFont="1" applyBorder="1" applyAlignment="1" applyProtection="1">
      <alignment horizontal="left" vertical="center"/>
      <protection locked="0"/>
    </xf>
    <xf numFmtId="3" fontId="8" fillId="0" borderId="16" xfId="54" applyNumberFormat="1" applyFont="1" applyFill="1" applyBorder="1" applyAlignment="1" applyProtection="1">
      <alignment horizontal="center" vertical="center"/>
      <protection hidden="1"/>
    </xf>
    <xf numFmtId="3" fontId="8" fillId="2" borderId="33" xfId="54" applyNumberFormat="1" applyFont="1" applyFill="1" applyBorder="1" applyAlignment="1" applyProtection="1">
      <alignment horizontal="center" vertical="center"/>
      <protection hidden="1"/>
    </xf>
    <xf numFmtId="3" fontId="8" fillId="2" borderId="31" xfId="54" applyNumberFormat="1" applyFont="1" applyFill="1" applyBorder="1" applyAlignment="1" applyProtection="1">
      <alignment horizontal="center" vertical="center"/>
      <protection hidden="1"/>
    </xf>
    <xf numFmtId="3" fontId="8" fillId="2" borderId="32" xfId="54" applyNumberFormat="1" applyFont="1" applyFill="1" applyBorder="1" applyAlignment="1" applyProtection="1">
      <alignment horizontal="center" vertical="center"/>
      <protection hidden="1"/>
    </xf>
    <xf numFmtId="3" fontId="7" fillId="2" borderId="16" xfId="54" applyNumberFormat="1" applyFont="1" applyFill="1" applyBorder="1" applyAlignment="1" applyProtection="1">
      <alignment horizontal="center" vertical="center"/>
      <protection hidden="1"/>
    </xf>
    <xf numFmtId="165" fontId="1" fillId="0" borderId="0" xfId="54" applyNumberFormat="1">
      <alignment/>
      <protection/>
    </xf>
    <xf numFmtId="14" fontId="7" fillId="18" borderId="21" xfId="54" applyNumberFormat="1" applyFont="1" applyFill="1" applyBorder="1" applyAlignment="1" applyProtection="1" quotePrefix="1">
      <alignment horizontal="left" vertical="center"/>
      <protection locked="0"/>
    </xf>
    <xf numFmtId="0" fontId="7" fillId="18" borderId="68" xfId="54" applyFont="1" applyFill="1" applyBorder="1" applyAlignment="1" applyProtection="1">
      <alignment vertical="center"/>
      <protection hidden="1"/>
    </xf>
    <xf numFmtId="3" fontId="8" fillId="18" borderId="17" xfId="54" applyNumberFormat="1" applyFont="1" applyFill="1" applyBorder="1" applyAlignment="1" applyProtection="1">
      <alignment horizontal="center" vertical="center"/>
      <protection hidden="1"/>
    </xf>
    <xf numFmtId="164" fontId="8" fillId="18" borderId="38" xfId="54" applyNumberFormat="1" applyFont="1" applyFill="1" applyBorder="1" applyAlignment="1" applyProtection="1">
      <alignment horizontal="center" vertical="center"/>
      <protection hidden="1"/>
    </xf>
    <xf numFmtId="164" fontId="8" fillId="18" borderId="22" xfId="54" applyNumberFormat="1" applyFont="1" applyFill="1" applyBorder="1" applyAlignment="1" applyProtection="1">
      <alignment horizontal="center" vertical="center"/>
      <protection hidden="1"/>
    </xf>
    <xf numFmtId="164" fontId="8" fillId="18" borderId="37" xfId="54" applyNumberFormat="1" applyFont="1" applyFill="1" applyBorder="1" applyAlignment="1" applyProtection="1">
      <alignment horizontal="center" vertical="center"/>
      <protection hidden="1"/>
    </xf>
    <xf numFmtId="164" fontId="7" fillId="18" borderId="17" xfId="54" applyNumberFormat="1" applyFont="1" applyFill="1" applyBorder="1" applyAlignment="1" applyProtection="1">
      <alignment horizontal="center" vertical="center"/>
      <protection hidden="1"/>
    </xf>
    <xf numFmtId="14" fontId="7" fillId="20" borderId="21" xfId="54" applyNumberFormat="1" applyFont="1" applyFill="1" applyBorder="1" applyAlignment="1" applyProtection="1" quotePrefix="1">
      <alignment horizontal="left" vertical="center"/>
      <protection locked="0"/>
    </xf>
    <xf numFmtId="0" fontId="7" fillId="20" borderId="85" xfId="54" applyFont="1" applyFill="1" applyBorder="1" applyAlignment="1" applyProtection="1">
      <alignment vertical="center" wrapText="1"/>
      <protection hidden="1"/>
    </xf>
    <xf numFmtId="3" fontId="8" fillId="20" borderId="17" xfId="54" applyNumberFormat="1" applyFont="1" applyFill="1" applyBorder="1" applyAlignment="1" applyProtection="1">
      <alignment horizontal="center" vertical="center"/>
      <protection hidden="1"/>
    </xf>
    <xf numFmtId="164" fontId="8" fillId="20" borderId="38" xfId="54" applyNumberFormat="1" applyFont="1" applyFill="1" applyBorder="1" applyAlignment="1" applyProtection="1">
      <alignment horizontal="center" vertical="center"/>
      <protection hidden="1"/>
    </xf>
    <xf numFmtId="164" fontId="8" fillId="20" borderId="22" xfId="54" applyNumberFormat="1" applyFont="1" applyFill="1" applyBorder="1" applyAlignment="1" applyProtection="1">
      <alignment horizontal="center" vertical="center"/>
      <protection hidden="1"/>
    </xf>
    <xf numFmtId="164" fontId="8" fillId="20" borderId="37" xfId="54" applyNumberFormat="1" applyFont="1" applyFill="1" applyBorder="1" applyAlignment="1" applyProtection="1">
      <alignment horizontal="center" vertical="center"/>
      <protection hidden="1"/>
    </xf>
    <xf numFmtId="164" fontId="7" fillId="20" borderId="17" xfId="54" applyNumberFormat="1" applyFont="1" applyFill="1" applyBorder="1" applyAlignment="1" applyProtection="1">
      <alignment horizontal="center" vertical="center"/>
      <protection hidden="1"/>
    </xf>
    <xf numFmtId="14" fontId="8" fillId="12" borderId="21" xfId="54" applyNumberFormat="1" applyFont="1" applyFill="1" applyBorder="1" applyAlignment="1" applyProtection="1" quotePrefix="1">
      <alignment horizontal="left" vertical="center"/>
      <protection locked="0"/>
    </xf>
    <xf numFmtId="0" fontId="14" fillId="12" borderId="36" xfId="54" applyFont="1" applyFill="1" applyBorder="1" applyAlignment="1">
      <alignment horizontal="left" vertical="top" wrapText="1"/>
      <protection/>
    </xf>
    <xf numFmtId="165" fontId="8" fillId="12" borderId="17" xfId="54" applyNumberFormat="1" applyFont="1" applyFill="1" applyBorder="1" applyAlignment="1" applyProtection="1">
      <alignment horizontal="center" vertical="center"/>
      <protection hidden="1"/>
    </xf>
    <xf numFmtId="164" fontId="8" fillId="12" borderId="38" xfId="54" applyNumberFormat="1" applyFont="1" applyFill="1" applyBorder="1" applyAlignment="1" applyProtection="1">
      <alignment horizontal="center" vertical="center"/>
      <protection hidden="1"/>
    </xf>
    <xf numFmtId="164" fontId="8" fillId="12" borderId="22" xfId="54" applyNumberFormat="1" applyFont="1" applyFill="1" applyBorder="1" applyAlignment="1" applyProtection="1">
      <alignment horizontal="center" vertical="center"/>
      <protection hidden="1"/>
    </xf>
    <xf numFmtId="164" fontId="8" fillId="12" borderId="37" xfId="54" applyNumberFormat="1" applyFont="1" applyFill="1" applyBorder="1" applyAlignment="1" applyProtection="1">
      <alignment horizontal="center" vertical="center"/>
      <protection hidden="1"/>
    </xf>
    <xf numFmtId="164" fontId="8" fillId="12" borderId="17" xfId="54" applyNumberFormat="1" applyFont="1" applyFill="1" applyBorder="1" applyAlignment="1" applyProtection="1">
      <alignment horizontal="center" vertical="center"/>
      <protection hidden="1"/>
    </xf>
    <xf numFmtId="14" fontId="10" fillId="12" borderId="21" xfId="54" applyNumberFormat="1" applyFont="1" applyFill="1" applyBorder="1" applyAlignment="1" applyProtection="1" quotePrefix="1">
      <alignment horizontal="left" vertical="center"/>
      <protection locked="0"/>
    </xf>
    <xf numFmtId="0" fontId="10" fillId="12" borderId="68" xfId="54" applyFont="1" applyFill="1" applyBorder="1" applyAlignment="1" applyProtection="1">
      <alignment vertical="center"/>
      <protection hidden="1"/>
    </xf>
    <xf numFmtId="165" fontId="10" fillId="12" borderId="17" xfId="54" applyNumberFormat="1" applyFont="1" applyFill="1" applyBorder="1" applyAlignment="1" applyProtection="1">
      <alignment horizontal="center" vertical="center"/>
      <protection hidden="1"/>
    </xf>
    <xf numFmtId="164" fontId="10" fillId="12" borderId="38" xfId="54" applyNumberFormat="1" applyFont="1" applyFill="1" applyBorder="1" applyAlignment="1" applyProtection="1">
      <alignment horizontal="center" vertical="center"/>
      <protection hidden="1"/>
    </xf>
    <xf numFmtId="164" fontId="10" fillId="12" borderId="22" xfId="54" applyNumberFormat="1" applyFont="1" applyFill="1" applyBorder="1" applyAlignment="1" applyProtection="1">
      <alignment horizontal="center" vertical="center"/>
      <protection hidden="1"/>
    </xf>
    <xf numFmtId="164" fontId="10" fillId="12" borderId="37" xfId="54" applyNumberFormat="1" applyFont="1" applyFill="1" applyBorder="1" applyAlignment="1" applyProtection="1">
      <alignment horizontal="center" vertical="center"/>
      <protection hidden="1"/>
    </xf>
    <xf numFmtId="164" fontId="10" fillId="12" borderId="17" xfId="54" applyNumberFormat="1" applyFont="1" applyFill="1" applyBorder="1" applyAlignment="1" applyProtection="1">
      <alignment horizontal="center" vertical="center"/>
      <protection hidden="1"/>
    </xf>
    <xf numFmtId="0" fontId="10" fillId="12" borderId="68" xfId="54" applyFont="1" applyFill="1" applyBorder="1" applyAlignment="1" applyProtection="1">
      <alignment vertical="center" wrapText="1"/>
      <protection hidden="1"/>
    </xf>
    <xf numFmtId="0" fontId="1" fillId="0" borderId="17" xfId="54" applyBorder="1">
      <alignment/>
      <protection/>
    </xf>
    <xf numFmtId="0" fontId="10" fillId="12" borderId="36" xfId="54" applyFont="1" applyFill="1" applyBorder="1" applyAlignment="1" applyProtection="1">
      <alignment vertical="center" wrapText="1"/>
      <protection hidden="1"/>
    </xf>
    <xf numFmtId="0" fontId="27" fillId="0" borderId="22" xfId="54" applyFont="1" applyBorder="1" applyAlignment="1">
      <alignment horizontal="center" vertical="center"/>
      <protection/>
    </xf>
    <xf numFmtId="0" fontId="27" fillId="0" borderId="17" xfId="54" applyFont="1" applyBorder="1" applyAlignment="1">
      <alignment horizontal="center" vertical="center"/>
      <protection/>
    </xf>
    <xf numFmtId="0" fontId="1" fillId="0" borderId="21" xfId="54" applyBorder="1">
      <alignment/>
      <protection/>
    </xf>
    <xf numFmtId="0" fontId="27" fillId="0" borderId="36" xfId="54" applyFont="1" applyBorder="1" applyAlignment="1">
      <alignment horizontal="center" vertical="center"/>
      <protection/>
    </xf>
    <xf numFmtId="0" fontId="27" fillId="0" borderId="64" xfId="54" applyFont="1" applyBorder="1" applyAlignment="1">
      <alignment horizontal="center" vertical="center"/>
      <protection/>
    </xf>
    <xf numFmtId="164" fontId="6" fillId="12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36" xfId="54" applyFont="1" applyFill="1" applyBorder="1" applyAlignment="1">
      <alignment horizontal="left" vertical="top" wrapText="1"/>
      <protection/>
    </xf>
    <xf numFmtId="0" fontId="28" fillId="0" borderId="17" xfId="54" applyFont="1" applyBorder="1">
      <alignment/>
      <protection/>
    </xf>
    <xf numFmtId="14" fontId="7" fillId="20" borderId="21" xfId="54" applyNumberFormat="1" applyFont="1" applyFill="1" applyBorder="1" applyAlignment="1" applyProtection="1">
      <alignment horizontal="left" vertical="center"/>
      <protection locked="0"/>
    </xf>
    <xf numFmtId="0" fontId="2" fillId="12" borderId="0" xfId="0" applyFont="1" applyFill="1" applyAlignment="1" applyProtection="1">
      <alignment vertical="center"/>
      <protection locked="0"/>
    </xf>
    <xf numFmtId="2" fontId="2" fillId="0" borderId="0" xfId="53" applyNumberFormat="1" applyFont="1" applyAlignment="1" applyProtection="1">
      <alignment vertical="center" wrapText="1"/>
      <protection locked="0"/>
    </xf>
    <xf numFmtId="0" fontId="2" fillId="12" borderId="17" xfId="53" applyFont="1" applyFill="1" applyBorder="1" applyAlignment="1" applyProtection="1">
      <alignment vertical="center"/>
      <protection hidden="1"/>
    </xf>
    <xf numFmtId="0" fontId="2" fillId="12" borderId="17" xfId="53" applyFont="1" applyFill="1" applyBorder="1" applyAlignment="1" applyProtection="1">
      <alignment vertical="center" wrapText="1"/>
      <protection hidden="1"/>
    </xf>
    <xf numFmtId="1" fontId="15" fillId="0" borderId="22" xfId="53" applyNumberFormat="1" applyFont="1" applyFill="1" applyBorder="1" applyAlignment="1">
      <alignment vertical="center" wrapText="1"/>
      <protection/>
    </xf>
    <xf numFmtId="1" fontId="15" fillId="2" borderId="34" xfId="53" applyNumberFormat="1" applyFont="1" applyFill="1" applyBorder="1" applyAlignment="1" applyProtection="1">
      <alignment vertical="center"/>
      <protection locked="0"/>
    </xf>
    <xf numFmtId="1" fontId="25" fillId="0" borderId="22" xfId="53" applyNumberFormat="1" applyFont="1" applyFill="1" applyBorder="1" applyAlignment="1">
      <alignment vertical="center"/>
      <protection/>
    </xf>
    <xf numFmtId="14" fontId="8" fillId="7" borderId="17" xfId="53" applyNumberFormat="1" applyFont="1" applyFill="1" applyBorder="1" applyAlignment="1" applyProtection="1">
      <alignment horizontal="left" vertical="center"/>
      <protection locked="0"/>
    </xf>
    <xf numFmtId="0" fontId="15" fillId="7" borderId="65" xfId="53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9" fillId="0" borderId="0" xfId="54" applyFont="1">
      <alignment/>
      <protection/>
    </xf>
    <xf numFmtId="0" fontId="4" fillId="0" borderId="0" xfId="0" applyFont="1" applyAlignment="1">
      <alignment/>
    </xf>
    <xf numFmtId="0" fontId="7" fillId="0" borderId="99" xfId="54" applyFont="1" applyBorder="1" applyAlignment="1" applyProtection="1">
      <alignment horizontal="center" vertical="center"/>
      <protection hidden="1"/>
    </xf>
    <xf numFmtId="0" fontId="8" fillId="0" borderId="100" xfId="54" applyFont="1" applyBorder="1" applyAlignment="1" applyProtection="1">
      <alignment horizontal="center" vertical="center"/>
      <protection hidden="1"/>
    </xf>
    <xf numFmtId="0" fontId="8" fillId="0" borderId="101" xfId="54" applyFont="1" applyBorder="1" applyAlignment="1" applyProtection="1">
      <alignment horizontal="center" vertical="center"/>
      <protection hidden="1"/>
    </xf>
    <xf numFmtId="0" fontId="8" fillId="0" borderId="102" xfId="54" applyFont="1" applyBorder="1" applyAlignment="1" applyProtection="1">
      <alignment horizontal="center" vertical="center"/>
      <protection hidden="1"/>
    </xf>
    <xf numFmtId="0" fontId="7" fillId="0" borderId="69" xfId="54" applyFont="1" applyBorder="1" applyAlignment="1" applyProtection="1">
      <alignment horizontal="center" vertical="center" wrapText="1"/>
      <protection hidden="1"/>
    </xf>
    <xf numFmtId="0" fontId="6" fillId="0" borderId="94" xfId="54" applyFont="1" applyBorder="1" applyAlignment="1" applyProtection="1">
      <alignment horizontal="left" vertical="center"/>
      <protection hidden="1"/>
    </xf>
    <xf numFmtId="0" fontId="21" fillId="0" borderId="34" xfId="0" applyFont="1" applyBorder="1" applyAlignment="1">
      <alignment/>
    </xf>
    <xf numFmtId="0" fontId="21" fillId="0" borderId="17" xfId="0" applyFont="1" applyBorder="1" applyAlignment="1">
      <alignment wrapText="1"/>
    </xf>
    <xf numFmtId="49" fontId="21" fillId="0" borderId="17" xfId="53" applyNumberFormat="1" applyFont="1" applyFill="1" applyBorder="1" applyAlignment="1" applyProtection="1">
      <alignment vertical="center"/>
      <protection hidden="1" locked="0"/>
    </xf>
    <xf numFmtId="0" fontId="15" fillId="0" borderId="34" xfId="0" applyFont="1" applyBorder="1" applyAlignment="1">
      <alignment/>
    </xf>
    <xf numFmtId="0" fontId="15" fillId="12" borderId="17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>
      <alignment/>
    </xf>
    <xf numFmtId="0" fontId="15" fillId="12" borderId="17" xfId="0" applyFont="1" applyFill="1" applyBorder="1" applyAlignment="1" applyProtection="1">
      <alignment vertical="center"/>
      <protection hidden="1"/>
    </xf>
    <xf numFmtId="0" fontId="15" fillId="0" borderId="87" xfId="0" applyFont="1" applyBorder="1" applyAlignment="1">
      <alignment/>
    </xf>
    <xf numFmtId="0" fontId="15" fillId="0" borderId="88" xfId="0" applyFont="1" applyBorder="1" applyAlignment="1">
      <alignment wrapText="1"/>
    </xf>
    <xf numFmtId="0" fontId="20" fillId="0" borderId="34" xfId="0" applyFont="1" applyBorder="1" applyAlignment="1">
      <alignment/>
    </xf>
    <xf numFmtId="49" fontId="20" fillId="0" borderId="17" xfId="53" applyNumberFormat="1" applyFont="1" applyFill="1" applyBorder="1" applyAlignment="1" applyProtection="1">
      <alignment vertical="center" wrapText="1"/>
      <protection hidden="1" locked="0"/>
    </xf>
    <xf numFmtId="164" fontId="21" fillId="0" borderId="38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164" fontId="21" fillId="0" borderId="6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0" fillId="0" borderId="38" xfId="53" applyNumberFormat="1" applyFont="1" applyFill="1" applyBorder="1" applyAlignment="1" applyProtection="1">
      <alignment horizontal="center" vertical="center"/>
      <protection locked="0"/>
    </xf>
    <xf numFmtId="164" fontId="20" fillId="0" borderId="22" xfId="53" applyNumberFormat="1" applyFont="1" applyFill="1" applyBorder="1" applyAlignment="1" applyProtection="1">
      <alignment horizontal="center" vertical="center"/>
      <protection locked="0"/>
    </xf>
    <xf numFmtId="164" fontId="20" fillId="0" borderId="37" xfId="53" applyNumberFormat="1" applyFont="1" applyFill="1" applyBorder="1" applyAlignment="1" applyProtection="1">
      <alignment horizontal="center" vertical="center"/>
      <protection locked="0"/>
    </xf>
    <xf numFmtId="164" fontId="20" fillId="0" borderId="66" xfId="53" applyNumberFormat="1" applyFont="1" applyFill="1" applyBorder="1" applyAlignment="1" applyProtection="1">
      <alignment horizontal="center" vertical="center"/>
      <protection locked="0"/>
    </xf>
    <xf numFmtId="164" fontId="20" fillId="0" borderId="17" xfId="53" applyNumberFormat="1" applyFont="1" applyFill="1" applyBorder="1" applyAlignment="1" applyProtection="1">
      <alignment horizontal="center" vertical="center"/>
      <protection locked="0"/>
    </xf>
    <xf numFmtId="164" fontId="20" fillId="0" borderId="17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4" fontId="15" fillId="0" borderId="66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95" xfId="0" applyNumberFormat="1" applyFont="1" applyBorder="1" applyAlignment="1">
      <alignment horizontal="center" vertical="center"/>
    </xf>
    <xf numFmtId="164" fontId="15" fillId="0" borderId="90" xfId="0" applyNumberFormat="1" applyFont="1" applyBorder="1" applyAlignment="1">
      <alignment horizontal="center" vertical="center"/>
    </xf>
    <xf numFmtId="164" fontId="14" fillId="0" borderId="96" xfId="0" applyNumberFormat="1" applyFont="1" applyBorder="1" applyAlignment="1">
      <alignment horizontal="center" vertical="center"/>
    </xf>
    <xf numFmtId="164" fontId="15" fillId="0" borderId="103" xfId="0" applyNumberFormat="1" applyFont="1" applyBorder="1" applyAlignment="1">
      <alignment horizontal="center" vertical="center"/>
    </xf>
    <xf numFmtId="164" fontId="15" fillId="0" borderId="88" xfId="0" applyNumberFormat="1" applyFont="1" applyBorder="1" applyAlignment="1">
      <alignment horizontal="center" vertical="center"/>
    </xf>
    <xf numFmtId="164" fontId="21" fillId="0" borderId="38" xfId="53" applyNumberFormat="1" applyFont="1" applyFill="1" applyBorder="1" applyAlignment="1" applyProtection="1">
      <alignment horizontal="center" vertical="center"/>
      <protection locked="0"/>
    </xf>
    <xf numFmtId="164" fontId="21" fillId="0" borderId="22" xfId="53" applyNumberFormat="1" applyFont="1" applyFill="1" applyBorder="1" applyAlignment="1" applyProtection="1">
      <alignment horizontal="center" vertical="center"/>
      <protection locked="0"/>
    </xf>
    <xf numFmtId="164" fontId="21" fillId="0" borderId="66" xfId="53" applyNumberFormat="1" applyFont="1" applyFill="1" applyBorder="1" applyAlignment="1" applyProtection="1">
      <alignment horizontal="center" vertical="center"/>
      <protection locked="0"/>
    </xf>
    <xf numFmtId="164" fontId="21" fillId="0" borderId="17" xfId="53" applyNumberFormat="1" applyFont="1" applyFill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>
      <alignment horizontal="center" vertical="center"/>
    </xf>
    <xf numFmtId="164" fontId="14" fillId="0" borderId="88" xfId="0" applyNumberFormat="1" applyFont="1" applyBorder="1" applyAlignment="1">
      <alignment horizontal="center" vertical="center"/>
    </xf>
    <xf numFmtId="0" fontId="21" fillId="2" borderId="28" xfId="54" applyFont="1" applyFill="1" applyBorder="1" applyAlignment="1" applyProtection="1">
      <alignment horizontal="left" vertical="center"/>
      <protection hidden="1"/>
    </xf>
    <xf numFmtId="0" fontId="20" fillId="2" borderId="16" xfId="54" applyFont="1" applyFill="1" applyBorder="1" applyAlignment="1" applyProtection="1">
      <alignment horizontal="center" vertical="center"/>
      <protection hidden="1"/>
    </xf>
    <xf numFmtId="164" fontId="20" fillId="2" borderId="33" xfId="54" applyNumberFormat="1" applyFont="1" applyFill="1" applyBorder="1" applyAlignment="1" applyProtection="1">
      <alignment horizontal="center" vertical="center"/>
      <protection hidden="1"/>
    </xf>
    <xf numFmtId="164" fontId="20" fillId="2" borderId="31" xfId="54" applyNumberFormat="1" applyFont="1" applyFill="1" applyBorder="1" applyAlignment="1" applyProtection="1">
      <alignment horizontal="center" vertical="center"/>
      <protection hidden="1"/>
    </xf>
    <xf numFmtId="164" fontId="20" fillId="2" borderId="32" xfId="54" applyNumberFormat="1" applyFont="1" applyFill="1" applyBorder="1" applyAlignment="1" applyProtection="1">
      <alignment horizontal="center" vertical="center"/>
      <protection hidden="1"/>
    </xf>
    <xf numFmtId="164" fontId="20" fillId="2" borderId="75" xfId="54" applyNumberFormat="1" applyFont="1" applyFill="1" applyBorder="1" applyAlignment="1" applyProtection="1">
      <alignment horizontal="center" vertical="center"/>
      <protection hidden="1"/>
    </xf>
    <xf numFmtId="164" fontId="20" fillId="2" borderId="16" xfId="54" applyNumberFormat="1" applyFont="1" applyFill="1" applyBorder="1" applyAlignment="1" applyProtection="1">
      <alignment horizontal="center" vertical="center"/>
      <protection hidden="1"/>
    </xf>
    <xf numFmtId="164" fontId="20" fillId="2" borderId="21" xfId="0" applyNumberFormat="1" applyFont="1" applyFill="1" applyBorder="1" applyAlignment="1">
      <alignment horizontal="center" vertical="center"/>
    </xf>
    <xf numFmtId="164" fontId="1" fillId="0" borderId="0" xfId="54" applyNumberFormat="1">
      <alignment/>
      <protection/>
    </xf>
    <xf numFmtId="0" fontId="10" fillId="12" borderId="17" xfId="54" applyFont="1" applyFill="1" applyBorder="1" applyAlignment="1" applyProtection="1">
      <alignment vertical="center"/>
      <protection hidden="1"/>
    </xf>
    <xf numFmtId="0" fontId="10" fillId="12" borderId="17" xfId="54" applyFont="1" applyFill="1" applyBorder="1" applyAlignment="1" applyProtection="1">
      <alignment vertical="center" wrapText="1"/>
      <protection hidden="1"/>
    </xf>
    <xf numFmtId="0" fontId="30" fillId="12" borderId="17" xfId="42" applyFont="1" applyFill="1" applyBorder="1" applyAlignment="1">
      <alignment horizontal="left" vertical="center" wrapText="1"/>
      <protection/>
    </xf>
    <xf numFmtId="0" fontId="31" fillId="12" borderId="17" xfId="42" applyFont="1" applyFill="1" applyBorder="1" applyAlignment="1">
      <alignment horizontal="left" vertical="center" wrapText="1"/>
      <protection/>
    </xf>
    <xf numFmtId="0" fontId="7" fillId="20" borderId="17" xfId="54" applyFont="1" applyFill="1" applyBorder="1" applyAlignment="1" applyProtection="1">
      <alignment vertical="center" wrapText="1"/>
      <protection hidden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10" fillId="12" borderId="17" xfId="0" applyFont="1" applyFill="1" applyBorder="1" applyAlignment="1" applyProtection="1" quotePrefix="1">
      <alignment horizontal="left" vertical="center"/>
      <protection locked="0"/>
    </xf>
    <xf numFmtId="165" fontId="3" fillId="2" borderId="34" xfId="0" applyNumberFormat="1" applyFont="1" applyFill="1" applyBorder="1" applyAlignment="1" applyProtection="1">
      <alignment horizontal="center" vertical="center"/>
      <protection hidden="1"/>
    </xf>
    <xf numFmtId="165" fontId="3" fillId="2" borderId="64" xfId="0" applyNumberFormat="1" applyFont="1" applyFill="1" applyBorder="1" applyAlignment="1" applyProtection="1">
      <alignment horizontal="center" vertical="center"/>
      <protection hidden="1"/>
    </xf>
    <xf numFmtId="3" fontId="5" fillId="2" borderId="28" xfId="54" applyNumberFormat="1" applyFont="1" applyFill="1" applyBorder="1" applyAlignment="1" applyProtection="1">
      <alignment horizontal="center" vertical="center"/>
      <protection hidden="1"/>
    </xf>
    <xf numFmtId="3" fontId="2" fillId="2" borderId="34" xfId="54" applyNumberFormat="1" applyFont="1" applyFill="1" applyBorder="1" applyAlignment="1" applyProtection="1">
      <alignment horizontal="center" vertical="center"/>
      <protection hidden="1"/>
    </xf>
    <xf numFmtId="3" fontId="2" fillId="2" borderId="58" xfId="54" applyNumberFormat="1" applyFont="1" applyFill="1" applyBorder="1" applyAlignment="1" applyProtection="1">
      <alignment horizontal="center" vertical="center"/>
      <protection hidden="1"/>
    </xf>
    <xf numFmtId="3" fontId="7" fillId="2" borderId="28" xfId="54" applyNumberFormat="1" applyFont="1" applyFill="1" applyBorder="1" applyAlignment="1" applyProtection="1">
      <alignment horizontal="center" vertical="center"/>
      <protection hidden="1"/>
    </xf>
    <xf numFmtId="164" fontId="7" fillId="18" borderId="34" xfId="54" applyNumberFormat="1" applyFont="1" applyFill="1" applyBorder="1" applyAlignment="1" applyProtection="1">
      <alignment horizontal="center" vertical="center"/>
      <protection hidden="1"/>
    </xf>
    <xf numFmtId="164" fontId="7" fillId="20" borderId="34" xfId="54" applyNumberFormat="1" applyFont="1" applyFill="1" applyBorder="1" applyAlignment="1" applyProtection="1">
      <alignment horizontal="center" vertical="center"/>
      <protection hidden="1"/>
    </xf>
    <xf numFmtId="164" fontId="8" fillId="12" borderId="34" xfId="54" applyNumberFormat="1" applyFont="1" applyFill="1" applyBorder="1" applyAlignment="1" applyProtection="1">
      <alignment horizontal="center" vertical="center"/>
      <protection hidden="1"/>
    </xf>
    <xf numFmtId="164" fontId="10" fillId="12" borderId="34" xfId="54" applyNumberFormat="1" applyFont="1" applyFill="1" applyBorder="1" applyAlignment="1" applyProtection="1">
      <alignment horizontal="center" vertical="center"/>
      <protection hidden="1"/>
    </xf>
    <xf numFmtId="0" fontId="27" fillId="0" borderId="34" xfId="54" applyFont="1" applyBorder="1" applyAlignment="1">
      <alignment horizontal="center" vertical="center"/>
      <protection/>
    </xf>
    <xf numFmtId="164" fontId="6" fillId="12" borderId="34" xfId="54" applyNumberFormat="1" applyFont="1" applyFill="1" applyBorder="1" applyAlignment="1" applyProtection="1">
      <alignment horizontal="center" vertical="center"/>
      <protection hidden="1"/>
    </xf>
    <xf numFmtId="3" fontId="1" fillId="2" borderId="22" xfId="54" applyNumberFormat="1" applyFill="1" applyBorder="1">
      <alignment/>
      <protection/>
    </xf>
    <xf numFmtId="3" fontId="1" fillId="2" borderId="36" xfId="54" applyNumberFormat="1" applyFill="1" applyBorder="1">
      <alignment/>
      <protection/>
    </xf>
    <xf numFmtId="0" fontId="23" fillId="0" borderId="0" xfId="0" applyFont="1" applyAlignment="1" applyProtection="1">
      <alignment vertical="center"/>
      <protection locked="0"/>
    </xf>
    <xf numFmtId="170" fontId="21" fillId="3" borderId="34" xfId="0" applyNumberFormat="1" applyFont="1" applyFill="1" applyBorder="1" applyAlignment="1">
      <alignment wrapText="1"/>
    </xf>
    <xf numFmtId="164" fontId="21" fillId="3" borderId="38" xfId="53" applyNumberFormat="1" applyFont="1" applyFill="1" applyBorder="1" applyAlignment="1" applyProtection="1">
      <alignment horizontal="center" vertical="center"/>
      <protection locked="0"/>
    </xf>
    <xf numFmtId="164" fontId="21" fillId="3" borderId="22" xfId="53" applyNumberFormat="1" applyFont="1" applyFill="1" applyBorder="1" applyAlignment="1" applyProtection="1">
      <alignment horizontal="center" vertical="center"/>
      <protection locked="0"/>
    </xf>
    <xf numFmtId="164" fontId="20" fillId="3" borderId="37" xfId="53" applyNumberFormat="1" applyFont="1" applyFill="1" applyBorder="1" applyAlignment="1" applyProtection="1">
      <alignment horizontal="center" vertical="center"/>
      <protection locked="0"/>
    </xf>
    <xf numFmtId="164" fontId="21" fillId="3" borderId="66" xfId="53" applyNumberFormat="1" applyFont="1" applyFill="1" applyBorder="1" applyAlignment="1" applyProtection="1">
      <alignment horizontal="center" vertical="center"/>
      <protection locked="0"/>
    </xf>
    <xf numFmtId="164" fontId="21" fillId="3" borderId="17" xfId="53" applyNumberFormat="1" applyFont="1" applyFill="1" applyBorder="1" applyAlignment="1" applyProtection="1">
      <alignment horizontal="center" vertical="center"/>
      <protection locked="0"/>
    </xf>
    <xf numFmtId="164" fontId="20" fillId="3" borderId="17" xfId="0" applyNumberFormat="1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165" fontId="10" fillId="12" borderId="22" xfId="0" applyNumberFormat="1" applyFont="1" applyFill="1" applyBorder="1" applyAlignment="1" applyProtection="1">
      <alignment horizontal="center" vertical="center"/>
      <protection locked="0"/>
    </xf>
    <xf numFmtId="165" fontId="10" fillId="12" borderId="37" xfId="0" applyNumberFormat="1" applyFont="1" applyFill="1" applyBorder="1" applyAlignment="1" applyProtection="1">
      <alignment horizontal="center" vertical="center"/>
      <protection locked="0"/>
    </xf>
    <xf numFmtId="165" fontId="6" fillId="12" borderId="17" xfId="0" applyNumberFormat="1" applyFont="1" applyFill="1" applyBorder="1" applyAlignment="1" applyProtection="1">
      <alignment horizontal="center" vertical="center"/>
      <protection locked="0"/>
    </xf>
    <xf numFmtId="165" fontId="10" fillId="12" borderId="38" xfId="0" applyNumberFormat="1" applyFont="1" applyFill="1" applyBorder="1" applyAlignment="1" applyProtection="1">
      <alignment horizontal="center" vertical="center"/>
      <protection locked="0"/>
    </xf>
    <xf numFmtId="0" fontId="6" fillId="12" borderId="17" xfId="0" applyFont="1" applyFill="1" applyBorder="1" applyAlignment="1" applyProtection="1">
      <alignment horizontal="center" vertical="center"/>
      <protection locked="0"/>
    </xf>
    <xf numFmtId="0" fontId="10" fillId="12" borderId="22" xfId="0" applyFont="1" applyFill="1" applyBorder="1" applyAlignment="1" applyProtection="1">
      <alignment horizontal="center" vertical="center"/>
      <protection locked="0"/>
    </xf>
    <xf numFmtId="0" fontId="10" fillId="12" borderId="37" xfId="0" applyFont="1" applyFill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 applyProtection="1">
      <alignment horizontal="center" vertical="center"/>
      <protection locked="0"/>
    </xf>
    <xf numFmtId="0" fontId="6" fillId="12" borderId="17" xfId="0" applyFont="1" applyFill="1" applyBorder="1" applyAlignment="1" applyProtection="1" quotePrefix="1">
      <alignment horizontal="center" vertical="center"/>
      <protection locked="0"/>
    </xf>
    <xf numFmtId="0" fontId="10" fillId="12" borderId="17" xfId="0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165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19" borderId="17" xfId="0" applyNumberFormat="1" applyFont="1" applyFill="1" applyBorder="1" applyAlignment="1" applyProtection="1">
      <alignment horizontal="center" vertical="center"/>
      <protection locked="0"/>
    </xf>
    <xf numFmtId="3" fontId="7" fillId="18" borderId="17" xfId="0" applyNumberFormat="1" applyFont="1" applyFill="1" applyBorder="1" applyAlignment="1" applyProtection="1">
      <alignment horizontal="center" vertical="center"/>
      <protection hidden="1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12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88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12" borderId="88" xfId="0" applyFont="1" applyFill="1" applyBorder="1" applyAlignment="1" applyProtection="1">
      <alignment horizontal="center" vertical="center"/>
      <protection locked="0"/>
    </xf>
    <xf numFmtId="0" fontId="7" fillId="0" borderId="15" xfId="5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04" xfId="0" applyFont="1" applyBorder="1" applyAlignment="1" applyProtection="1">
      <alignment horizontal="center" vertical="center"/>
      <protection hidden="1"/>
    </xf>
    <xf numFmtId="0" fontId="7" fillId="0" borderId="105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justify"/>
      <protection hidden="1"/>
    </xf>
    <xf numFmtId="1" fontId="7" fillId="0" borderId="11" xfId="0" applyNumberFormat="1" applyFont="1" applyBorder="1" applyAlignment="1" applyProtection="1">
      <alignment horizontal="center" vertical="justify"/>
      <protection hidden="1"/>
    </xf>
    <xf numFmtId="1" fontId="5" fillId="0" borderId="10" xfId="53" applyNumberFormat="1" applyFont="1" applyBorder="1" applyAlignment="1" applyProtection="1">
      <alignment horizontal="center" vertical="center"/>
      <protection locked="0"/>
    </xf>
    <xf numFmtId="1" fontId="5" fillId="0" borderId="11" xfId="53" applyNumberFormat="1" applyFont="1" applyBorder="1" applyAlignment="1" applyProtection="1">
      <alignment horizontal="center" vertical="center"/>
      <protection locked="0"/>
    </xf>
    <xf numFmtId="0" fontId="4" fillId="0" borderId="0" xfId="53" applyFont="1" applyAlignment="1" applyProtection="1">
      <alignment horizontal="center" vertical="center"/>
      <protection locked="0"/>
    </xf>
    <xf numFmtId="1" fontId="7" fillId="0" borderId="69" xfId="53" applyNumberFormat="1" applyFont="1" applyBorder="1" applyAlignment="1" applyProtection="1">
      <alignment horizontal="center" vertical="justify"/>
      <protection hidden="1"/>
    </xf>
    <xf numFmtId="1" fontId="7" fillId="0" borderId="71" xfId="53" applyNumberFormat="1" applyFont="1" applyBorder="1" applyAlignment="1" applyProtection="1">
      <alignment horizontal="center" vertical="justify"/>
      <protection hidden="1"/>
    </xf>
    <xf numFmtId="0" fontId="7" fillId="0" borderId="104" xfId="53" applyFont="1" applyBorder="1" applyAlignment="1" applyProtection="1">
      <alignment horizontal="center" vertical="center"/>
      <protection hidden="1"/>
    </xf>
    <xf numFmtId="1" fontId="7" fillId="0" borderId="10" xfId="53" applyNumberFormat="1" applyFont="1" applyBorder="1" applyAlignment="1" applyProtection="1">
      <alignment horizontal="center" vertical="justify"/>
      <protection hidden="1"/>
    </xf>
    <xf numFmtId="1" fontId="7" fillId="0" borderId="11" xfId="53" applyNumberFormat="1" applyFont="1" applyBorder="1" applyAlignment="1" applyProtection="1">
      <alignment horizontal="center" vertical="justify"/>
      <protection hidden="1"/>
    </xf>
    <xf numFmtId="0" fontId="7" fillId="0" borderId="15" xfId="53" applyFont="1" applyBorder="1" applyAlignment="1" applyProtection="1">
      <alignment horizontal="center" vertical="center"/>
      <protection hidden="1"/>
    </xf>
    <xf numFmtId="0" fontId="7" fillId="0" borderId="105" xfId="53" applyFont="1" applyBorder="1" applyAlignment="1" applyProtection="1">
      <alignment horizontal="center" vertical="center"/>
      <protection hidden="1"/>
    </xf>
    <xf numFmtId="1" fontId="5" fillId="0" borderId="97" xfId="53" applyNumberFormat="1" applyFont="1" applyBorder="1" applyAlignment="1" applyProtection="1">
      <alignment horizontal="center" vertical="center"/>
      <protection locked="0"/>
    </xf>
    <xf numFmtId="1" fontId="5" fillId="0" borderId="98" xfId="53" applyNumberFormat="1" applyFont="1" applyBorder="1" applyAlignment="1" applyProtection="1">
      <alignment horizontal="center" vertical="center"/>
      <protection locked="0"/>
    </xf>
    <xf numFmtId="1" fontId="7" fillId="0" borderId="106" xfId="53" applyNumberFormat="1" applyFont="1" applyBorder="1" applyAlignment="1" applyProtection="1">
      <alignment horizontal="center" vertical="justify"/>
      <protection hidden="1"/>
    </xf>
    <xf numFmtId="1" fontId="7" fillId="0" borderId="107" xfId="53" applyNumberFormat="1" applyFont="1" applyBorder="1" applyAlignment="1" applyProtection="1">
      <alignment horizontal="center" vertical="justify"/>
      <protection hidden="1"/>
    </xf>
    <xf numFmtId="1" fontId="5" fillId="0" borderId="10" xfId="51" applyNumberFormat="1" applyFont="1" applyBorder="1" applyAlignment="1" applyProtection="1">
      <alignment horizontal="center" vertical="center"/>
      <protection locked="0"/>
    </xf>
    <xf numFmtId="1" fontId="5" fillId="0" borderId="11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1" fontId="7" fillId="0" borderId="10" xfId="51" applyNumberFormat="1" applyFont="1" applyBorder="1" applyAlignment="1" applyProtection="1">
      <alignment horizontal="center" vertical="justify"/>
      <protection hidden="1"/>
    </xf>
    <xf numFmtId="1" fontId="7" fillId="0" borderId="11" xfId="51" applyNumberFormat="1" applyFont="1" applyBorder="1" applyAlignment="1" applyProtection="1">
      <alignment horizontal="center" vertical="justify"/>
      <protection hidden="1"/>
    </xf>
    <xf numFmtId="0" fontId="7" fillId="0" borderId="104" xfId="51" applyFont="1" applyBorder="1" applyAlignment="1" applyProtection="1">
      <alignment horizontal="center" vertical="center"/>
      <protection hidden="1"/>
    </xf>
    <xf numFmtId="0" fontId="7" fillId="0" borderId="105" xfId="51" applyFont="1" applyBorder="1" applyAlignment="1" applyProtection="1">
      <alignment horizontal="center" vertical="center"/>
      <protection hidden="1"/>
    </xf>
    <xf numFmtId="0" fontId="1" fillId="2" borderId="22" xfId="54" applyFill="1" applyBorder="1" applyAlignment="1">
      <alignment horizontal="center"/>
      <protection/>
    </xf>
    <xf numFmtId="1" fontId="7" fillId="0" borderId="10" xfId="54" applyNumberFormat="1" applyFont="1" applyBorder="1" applyAlignment="1" applyProtection="1">
      <alignment horizontal="center" vertical="justify"/>
      <protection hidden="1"/>
    </xf>
    <xf numFmtId="1" fontId="7" fillId="0" borderId="11" xfId="54" applyNumberFormat="1" applyFont="1" applyBorder="1" applyAlignment="1" applyProtection="1">
      <alignment horizontal="center" vertical="justify"/>
      <protection hidden="1"/>
    </xf>
    <xf numFmtId="0" fontId="7" fillId="0" borderId="15" xfId="54" applyFont="1" applyBorder="1" applyAlignment="1" applyProtection="1">
      <alignment horizontal="center" vertical="center"/>
      <protection hidden="1"/>
    </xf>
    <xf numFmtId="0" fontId="7" fillId="0" borderId="104" xfId="54" applyFont="1" applyBorder="1" applyAlignment="1" applyProtection="1">
      <alignment horizontal="center" vertical="center"/>
      <protection hidden="1"/>
    </xf>
    <xf numFmtId="0" fontId="7" fillId="0" borderId="105" xfId="54" applyFont="1" applyBorder="1" applyAlignment="1" applyProtection="1">
      <alignment horizontal="center" vertical="center"/>
      <protection hidden="1"/>
    </xf>
    <xf numFmtId="1" fontId="5" fillId="0" borderId="10" xfId="54" applyNumberFormat="1" applyFont="1" applyBorder="1" applyAlignment="1" applyProtection="1">
      <alignment horizontal="center" vertical="center"/>
      <protection locked="0"/>
    </xf>
    <xf numFmtId="1" fontId="5" fillId="0" borderId="11" xfId="54" applyNumberFormat="1" applyFont="1" applyBorder="1" applyAlignment="1" applyProtection="1">
      <alignment horizontal="center" vertical="center"/>
      <protection locked="0"/>
    </xf>
    <xf numFmtId="1" fontId="5" fillId="0" borderId="69" xfId="54" applyNumberFormat="1" applyFont="1" applyBorder="1" applyAlignment="1" applyProtection="1">
      <alignment horizontal="center" vertical="center"/>
      <protection locked="0"/>
    </xf>
    <xf numFmtId="1" fontId="5" fillId="0" borderId="71" xfId="54" applyNumberFormat="1" applyFont="1" applyBorder="1" applyAlignment="1" applyProtection="1">
      <alignment horizontal="center" vertical="center"/>
      <protection locked="0"/>
    </xf>
    <xf numFmtId="0" fontId="29" fillId="0" borderId="16" xfId="54" applyFont="1" applyBorder="1" applyAlignment="1">
      <alignment horizontal="center"/>
      <protection/>
    </xf>
    <xf numFmtId="0" fontId="29" fillId="0" borderId="88" xfId="54" applyFont="1" applyBorder="1" applyAlignment="1">
      <alignment horizontal="center"/>
      <protection/>
    </xf>
    <xf numFmtId="1" fontId="5" fillId="0" borderId="94" xfId="54" applyNumberFormat="1" applyFont="1" applyBorder="1" applyAlignment="1" applyProtection="1">
      <alignment horizontal="center" vertical="center"/>
      <protection locked="0"/>
    </xf>
    <xf numFmtId="1" fontId="5" fillId="0" borderId="93" xfId="54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Sheet1" xfId="49"/>
    <cellStyle name="Paprastas 2" xfId="50"/>
    <cellStyle name="Paprastas 2 2" xfId="51"/>
    <cellStyle name="Paprastas 2_Tinklai" xfId="52"/>
    <cellStyle name="Paprastas 3" xfId="53"/>
    <cellStyle name="Paprastas 4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vilys:35753/Users\User\AppData\Local\Microsoft\Windows\Temporary%20Internet%20Files\Content.Outlook\LTECHHQB\Projektai%20ir%20j&#371;%20finansavimo%20&#353;altin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as1"/>
      <sheetName val="Infr.pltr. Klaipedoje"/>
      <sheetName val="Lapas2"/>
      <sheetName val="Lapas3"/>
    </sheetNames>
    <sheetDataSet>
      <sheetData sheetId="1">
        <row r="75">
          <cell r="B75" t="str">
            <v>Vandentiekio ir nuotekų tinklų plėtra Klaipėdos rajone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showZeros="0" tabSelected="1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" sqref="I4"/>
    </sheetView>
  </sheetViews>
  <sheetFormatPr defaultColWidth="9.140625" defaultRowHeight="12.75" customHeight="1"/>
  <cols>
    <col min="1" max="1" width="6.8515625" style="1" customWidth="1"/>
    <col min="2" max="2" width="40.140625" style="2" customWidth="1"/>
    <col min="3" max="3" width="8.28125" style="2" customWidth="1"/>
    <col min="4" max="7" width="8.7109375" style="3" customWidth="1"/>
    <col min="8" max="8" width="10.8515625" style="2" customWidth="1"/>
    <col min="9" max="12" width="8.7109375" style="3" customWidth="1"/>
    <col min="13" max="13" width="10.8515625" style="2" customWidth="1"/>
    <col min="14" max="14" width="9.140625" style="2" customWidth="1"/>
    <col min="15" max="15" width="11.7109375" style="2" customWidth="1"/>
    <col min="16" max="16" width="9.57421875" style="2" customWidth="1"/>
    <col min="17" max="17" width="9.8515625" style="983" customWidth="1"/>
    <col min="18" max="16384" width="9.140625" style="2" customWidth="1"/>
  </cols>
  <sheetData>
    <row r="1" ht="12.75" customHeight="1">
      <c r="M1" s="974" t="s">
        <v>586</v>
      </c>
    </row>
    <row r="2" ht="12.75" customHeight="1">
      <c r="M2" s="974" t="s">
        <v>579</v>
      </c>
    </row>
    <row r="3" ht="12.75" customHeight="1">
      <c r="M3" s="974" t="s">
        <v>608</v>
      </c>
    </row>
    <row r="4" ht="12.75" customHeight="1">
      <c r="M4" s="974" t="s">
        <v>609</v>
      </c>
    </row>
    <row r="5" ht="12.75" customHeight="1">
      <c r="M5" s="974"/>
    </row>
    <row r="6" ht="12.75" customHeight="1">
      <c r="M6" s="974"/>
    </row>
    <row r="7" ht="12.75" customHeight="1">
      <c r="M7" s="974"/>
    </row>
    <row r="8" spans="1:14" ht="12.75" customHeight="1">
      <c r="A8" s="1015" t="s">
        <v>590</v>
      </c>
      <c r="B8" s="1015"/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</row>
    <row r="9" spans="1:14" ht="12.75" customHeight="1">
      <c r="A9" s="1015"/>
      <c r="B9" s="1015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</row>
    <row r="10" spans="1:13" ht="12.75" customHeight="1" thickBot="1">
      <c r="A10" s="4"/>
      <c r="B10" s="5"/>
      <c r="C10" s="5"/>
      <c r="D10" s="6"/>
      <c r="E10" s="6"/>
      <c r="F10" s="6"/>
      <c r="G10" s="6"/>
      <c r="H10" s="5"/>
      <c r="I10" s="6"/>
      <c r="J10" s="6"/>
      <c r="K10" s="6"/>
      <c r="L10" s="6"/>
      <c r="M10" s="5"/>
    </row>
    <row r="11" spans="1:17" ht="18.75" customHeight="1" thickBot="1">
      <c r="A11" s="7" t="s">
        <v>1</v>
      </c>
      <c r="B11" s="8" t="s">
        <v>587</v>
      </c>
      <c r="C11" s="1016" t="s">
        <v>42</v>
      </c>
      <c r="D11" s="1009">
        <v>2012</v>
      </c>
      <c r="E11" s="1010"/>
      <c r="F11" s="1010"/>
      <c r="G11" s="1010"/>
      <c r="H11" s="1011"/>
      <c r="I11" s="1009">
        <v>2013</v>
      </c>
      <c r="J11" s="1010"/>
      <c r="K11" s="1010"/>
      <c r="L11" s="1010"/>
      <c r="M11" s="1011"/>
      <c r="N11" s="1012">
        <v>2014</v>
      </c>
      <c r="O11" s="1012">
        <v>2015</v>
      </c>
      <c r="P11" s="1012">
        <v>2016</v>
      </c>
      <c r="Q11" s="1007" t="s">
        <v>607</v>
      </c>
    </row>
    <row r="12" spans="1:17" ht="32.25" customHeight="1" thickBot="1">
      <c r="A12" s="9" t="s">
        <v>5</v>
      </c>
      <c r="B12" s="10" t="s">
        <v>6</v>
      </c>
      <c r="C12" s="1017"/>
      <c r="D12" s="11" t="s">
        <v>8</v>
      </c>
      <c r="E12" s="12" t="s">
        <v>9</v>
      </c>
      <c r="F12" s="12" t="s">
        <v>10</v>
      </c>
      <c r="G12" s="13" t="s">
        <v>11</v>
      </c>
      <c r="H12" s="14" t="s">
        <v>12</v>
      </c>
      <c r="I12" s="11" t="s">
        <v>8</v>
      </c>
      <c r="J12" s="12" t="s">
        <v>9</v>
      </c>
      <c r="K12" s="12" t="s">
        <v>10</v>
      </c>
      <c r="L12" s="13" t="s">
        <v>11</v>
      </c>
      <c r="M12" s="14" t="s">
        <v>12</v>
      </c>
      <c r="N12" s="1013"/>
      <c r="O12" s="1013"/>
      <c r="P12" s="1013"/>
      <c r="Q12" s="1008"/>
    </row>
    <row r="13" spans="1:17" ht="12.75" customHeight="1">
      <c r="A13" s="15" t="s">
        <v>13</v>
      </c>
      <c r="B13" s="16" t="s">
        <v>14</v>
      </c>
      <c r="C13" s="17"/>
      <c r="D13" s="784">
        <f aca="true" t="shared" si="0" ref="D13:P13">SUM(D14:D21)</f>
        <v>8668.7</v>
      </c>
      <c r="E13" s="785">
        <f t="shared" si="0"/>
        <v>18885.5</v>
      </c>
      <c r="F13" s="785">
        <f t="shared" si="0"/>
        <v>13680.300000000001</v>
      </c>
      <c r="G13" s="785">
        <f t="shared" si="0"/>
        <v>20391.800000000003</v>
      </c>
      <c r="H13" s="786">
        <f t="shared" si="0"/>
        <v>61626.3</v>
      </c>
      <c r="I13" s="784">
        <f t="shared" si="0"/>
        <v>18137.5</v>
      </c>
      <c r="J13" s="785">
        <f t="shared" si="0"/>
        <v>10646.699999999999</v>
      </c>
      <c r="K13" s="785">
        <f t="shared" si="0"/>
        <v>9932.1</v>
      </c>
      <c r="L13" s="787">
        <f t="shared" si="0"/>
        <v>5058.7</v>
      </c>
      <c r="M13" s="786">
        <f t="shared" si="0"/>
        <v>43775</v>
      </c>
      <c r="N13" s="786">
        <f t="shared" si="0"/>
        <v>17122.4</v>
      </c>
      <c r="O13" s="786">
        <f t="shared" si="0"/>
        <v>17100</v>
      </c>
      <c r="P13" s="786">
        <f t="shared" si="0"/>
        <v>17100</v>
      </c>
      <c r="Q13" s="994">
        <f>SUM(H13+M13+N13+O13+P13)</f>
        <v>156723.7</v>
      </c>
    </row>
    <row r="14" spans="1:17" s="5" customFormat="1" ht="12.75" customHeight="1">
      <c r="A14" s="18" t="s">
        <v>15</v>
      </c>
      <c r="B14" s="19" t="s">
        <v>588</v>
      </c>
      <c r="C14" s="20"/>
      <c r="D14" s="960">
        <v>3125</v>
      </c>
      <c r="E14" s="961">
        <v>3125</v>
      </c>
      <c r="F14" s="961">
        <v>3125</v>
      </c>
      <c r="G14" s="790">
        <v>3125</v>
      </c>
      <c r="H14" s="791">
        <f>SUM(D14:G14)</f>
        <v>12500</v>
      </c>
      <c r="I14" s="960">
        <v>3765</v>
      </c>
      <c r="J14" s="961">
        <v>3765</v>
      </c>
      <c r="K14" s="961">
        <v>3765</v>
      </c>
      <c r="L14" s="790">
        <v>3765</v>
      </c>
      <c r="M14" s="791">
        <f>SUM(I14:L14)</f>
        <v>15060</v>
      </c>
      <c r="N14" s="791">
        <v>15100</v>
      </c>
      <c r="O14" s="791">
        <v>15100</v>
      </c>
      <c r="P14" s="791">
        <v>15100</v>
      </c>
      <c r="Q14" s="994">
        <f aca="true" t="shared" si="1" ref="Q14:Q21">SUM(H14+M14+N14+O14+P14)</f>
        <v>72860</v>
      </c>
    </row>
    <row r="15" spans="1:17" s="5" customFormat="1" ht="12.75" customHeight="1">
      <c r="A15" s="18" t="s">
        <v>17</v>
      </c>
      <c r="B15" s="19" t="str">
        <f>'Investic.projektai'!B7</f>
        <v>ES dotacijos</v>
      </c>
      <c r="C15" s="20">
        <f>'Investic.projektai'!C7+'Investic.projektai rajon.'!C7</f>
        <v>46786.299999999996</v>
      </c>
      <c r="D15" s="788">
        <f>'Investic.projektai'!D7+'Investic.projektai rajon.'!D7</f>
        <v>2840.88178</v>
      </c>
      <c r="E15" s="789">
        <f>'Investic.projektai'!E7+'Investic.projektai rajon.'!E7</f>
        <v>11948.221710000002</v>
      </c>
      <c r="F15" s="789">
        <f>'Investic.projektai'!F7+'Investic.projektai rajon.'!F7</f>
        <v>5385.26609</v>
      </c>
      <c r="G15" s="790">
        <f>'Investic.projektai'!G7+'Investic.projektai rajon.'!G7</f>
        <v>12418.328730000001</v>
      </c>
      <c r="H15" s="791">
        <f>'Investic.projektai'!H7+'Investic.projektai rajon.'!H7</f>
        <v>32592.698310000003</v>
      </c>
      <c r="I15" s="788">
        <f>'Investic.projektai'!I7+'Investic.projektai rajon.'!I7</f>
        <v>11368.099999999999</v>
      </c>
      <c r="J15" s="789">
        <f>'Investic.projektai'!J7+'Investic.projektai rajon.'!J7</f>
        <v>4805.9216</v>
      </c>
      <c r="K15" s="789">
        <f>'Investic.projektai'!K7+'Investic.projektai rajon.'!K7</f>
        <v>1862.088</v>
      </c>
      <c r="L15" s="790">
        <f>'Investic.projektai'!L7+'Investic.projektai rajon.'!L7</f>
        <v>133.62662999999998</v>
      </c>
      <c r="M15" s="791">
        <f>'Investic.projektai'!M7+'Investic.projektai rajon.'!M7</f>
        <v>18169.73623</v>
      </c>
      <c r="N15" s="791">
        <f>'Investic.projektai'!N7+'Investic.projektai rajon.'!N7</f>
        <v>20</v>
      </c>
      <c r="O15" s="791">
        <f>'Investic.projektai'!O7+'Investic.projektai rajon.'!O7</f>
        <v>0</v>
      </c>
      <c r="P15" s="791">
        <f>'Investic.projektai'!P7+'Investic.projektai rajon.'!P7</f>
        <v>0</v>
      </c>
      <c r="Q15" s="994">
        <f t="shared" si="1"/>
        <v>50782.43454</v>
      </c>
    </row>
    <row r="16" spans="1:17" s="5" customFormat="1" ht="12.75" customHeight="1">
      <c r="A16" s="18" t="s">
        <v>19</v>
      </c>
      <c r="B16" s="19" t="str">
        <f>'Investic.projektai'!B8</f>
        <v>LR valstybės biudžetas</v>
      </c>
      <c r="C16" s="20">
        <f>'Investic.projektai'!C8</f>
        <v>4006.0000000000005</v>
      </c>
      <c r="D16" s="788">
        <f>'Investic.projektai'!D8</f>
        <v>217.60000000000002</v>
      </c>
      <c r="E16" s="789">
        <f>'Investic.projektai'!E8</f>
        <v>1152.1</v>
      </c>
      <c r="F16" s="789">
        <f>'Investic.projektai'!F8</f>
        <v>522.9</v>
      </c>
      <c r="G16" s="790">
        <f>'Investic.projektai'!G8</f>
        <v>1229.9</v>
      </c>
      <c r="H16" s="791">
        <f>'Investic.projektai'!H8</f>
        <v>3122.5</v>
      </c>
      <c r="I16" s="788">
        <f>'Investic.projektai'!I8</f>
        <v>1337.4</v>
      </c>
      <c r="J16" s="789">
        <f>'Investic.projektai'!J8</f>
        <v>530.4</v>
      </c>
      <c r="K16" s="789">
        <f>'Investic.projektai'!K8</f>
        <v>218</v>
      </c>
      <c r="L16" s="790">
        <f>'Investic.projektai'!L8</f>
        <v>0</v>
      </c>
      <c r="M16" s="791">
        <f>'Investic.projektai'!M8</f>
        <v>2085.8</v>
      </c>
      <c r="N16" s="791">
        <f>'Investic.projektai'!N8</f>
        <v>2.4</v>
      </c>
      <c r="O16" s="791">
        <f>'Investic.projektai'!O8</f>
        <v>0</v>
      </c>
      <c r="P16" s="791">
        <f>'Investic.projektai'!P8</f>
        <v>0</v>
      </c>
      <c r="Q16" s="994">
        <f t="shared" si="1"/>
        <v>5210.7</v>
      </c>
    </row>
    <row r="17" spans="1:17" s="5" customFormat="1" ht="12.75" customHeight="1">
      <c r="A17" s="18" t="s">
        <v>21</v>
      </c>
      <c r="B17" s="19" t="str">
        <f>'Investic.projektai'!B9</f>
        <v>Savivaldybės dotacijos</v>
      </c>
      <c r="C17" s="20">
        <f>'Investic.projektai'!C9+'Investic.projektai rajon.'!C8</f>
        <v>5785</v>
      </c>
      <c r="D17" s="788">
        <f>'Investic.projektai'!D9+'Investic.projektai rajon.'!D8</f>
        <v>112.51822000000001</v>
      </c>
      <c r="E17" s="789">
        <f>'Investic.projektai'!E9+'Investic.projektai rajon.'!E8</f>
        <v>193.07828999999998</v>
      </c>
      <c r="F17" s="789">
        <f>'Investic.projektai'!F9+'Investic.projektai rajon.'!F8</f>
        <v>71.73391</v>
      </c>
      <c r="G17" s="790">
        <f>'Investic.projektai'!G9+'Investic.projektai rajon.'!G8</f>
        <v>127.77127</v>
      </c>
      <c r="H17" s="791">
        <f>'Investic.projektai'!H9+'Investic.projektai rajon.'!H8</f>
        <v>505.10168999999996</v>
      </c>
      <c r="I17" s="788">
        <f>'Investic.projektai'!I9+'Investic.projektai rajon.'!I8</f>
        <v>0</v>
      </c>
      <c r="J17" s="789">
        <f>'Investic.projektai'!J9+'Investic.projektai rajon.'!J8</f>
        <v>2.5784000000000002</v>
      </c>
      <c r="K17" s="789">
        <f>'Investic.projektai'!K9+'Investic.projektai rajon.'!K8</f>
        <v>0.7120000000000001</v>
      </c>
      <c r="L17" s="790">
        <f>'Investic.projektai'!L9+'Investic.projektai rajon.'!L8</f>
        <v>10.07337</v>
      </c>
      <c r="M17" s="791">
        <f>'Investic.projektai'!M9+'Investic.projektai rajon.'!M8</f>
        <v>13.36377</v>
      </c>
      <c r="N17" s="791">
        <f>'Investic.projektai'!N9+'Investic.projektai rajon.'!N8</f>
        <v>0</v>
      </c>
      <c r="O17" s="791">
        <f>'Investic.projektai'!O9+'Investic.projektai rajon.'!O8</f>
        <v>0</v>
      </c>
      <c r="P17" s="791">
        <f>'Investic.projektai'!P9+'Investic.projektai rajon.'!P8</f>
        <v>0</v>
      </c>
      <c r="Q17" s="994">
        <f t="shared" si="1"/>
        <v>518.46546</v>
      </c>
    </row>
    <row r="18" spans="1:17" s="5" customFormat="1" ht="12.75" customHeight="1">
      <c r="A18" s="18" t="s">
        <v>23</v>
      </c>
      <c r="B18" s="19" t="s">
        <v>18</v>
      </c>
      <c r="C18" s="20"/>
      <c r="D18" s="788">
        <v>1157.7</v>
      </c>
      <c r="E18" s="789"/>
      <c r="F18" s="789"/>
      <c r="G18" s="790"/>
      <c r="H18" s="791">
        <f>SUM(D18:G18)</f>
        <v>1157.7</v>
      </c>
      <c r="I18" s="788">
        <f>H23</f>
        <v>0</v>
      </c>
      <c r="J18" s="789"/>
      <c r="K18" s="789"/>
      <c r="L18" s="790"/>
      <c r="M18" s="791">
        <f>SUM(I18:L18)</f>
        <v>0</v>
      </c>
      <c r="N18" s="791"/>
      <c r="O18" s="791"/>
      <c r="P18" s="791"/>
      <c r="Q18" s="994">
        <f t="shared" si="1"/>
        <v>1157.7</v>
      </c>
    </row>
    <row r="19" spans="1:17" s="5" customFormat="1" ht="12.75" customHeight="1">
      <c r="A19" s="18" t="s">
        <v>541</v>
      </c>
      <c r="B19" s="21" t="s">
        <v>20</v>
      </c>
      <c r="C19" s="20"/>
      <c r="D19" s="788">
        <v>-385</v>
      </c>
      <c r="E19" s="789">
        <v>374</v>
      </c>
      <c r="F19" s="789">
        <v>486</v>
      </c>
      <c r="G19" s="790">
        <v>-222</v>
      </c>
      <c r="H19" s="791">
        <f>SUM(D19:G19)</f>
        <v>253</v>
      </c>
      <c r="I19" s="788">
        <v>500</v>
      </c>
      <c r="J19" s="789">
        <v>500</v>
      </c>
      <c r="K19" s="789">
        <v>500</v>
      </c>
      <c r="L19" s="790">
        <v>500</v>
      </c>
      <c r="M19" s="791">
        <f>SUM(I19:L19)</f>
        <v>2000</v>
      </c>
      <c r="N19" s="791">
        <v>2000</v>
      </c>
      <c r="O19" s="791">
        <v>2000</v>
      </c>
      <c r="P19" s="791">
        <v>2000</v>
      </c>
      <c r="Q19" s="994">
        <f t="shared" si="1"/>
        <v>8253</v>
      </c>
    </row>
    <row r="20" spans="1:17" s="5" customFormat="1" ht="12.75" customHeight="1">
      <c r="A20" s="18" t="s">
        <v>542</v>
      </c>
      <c r="B20" s="21" t="s">
        <v>511</v>
      </c>
      <c r="C20" s="20"/>
      <c r="D20" s="788">
        <f>'Projektai is paskolos'!C6</f>
        <v>0</v>
      </c>
      <c r="E20" s="789">
        <f>'Projektai is paskolos'!D6</f>
        <v>2093.1000000000004</v>
      </c>
      <c r="F20" s="789">
        <f>'Projektai is paskolos'!E6</f>
        <v>4089.4</v>
      </c>
      <c r="G20" s="790">
        <f>'Projektai is paskolos'!F6</f>
        <v>3712.8</v>
      </c>
      <c r="H20" s="791">
        <f>'Projektai is paskolos'!G6</f>
        <v>9895.3</v>
      </c>
      <c r="I20" s="788">
        <f>'Projektai is paskolos'!H6</f>
        <v>1167</v>
      </c>
      <c r="J20" s="789">
        <f>'Projektai is paskolos'!I6</f>
        <v>1042.8</v>
      </c>
      <c r="K20" s="789">
        <f>'Projektai is paskolos'!J6</f>
        <v>3586.3</v>
      </c>
      <c r="L20" s="790">
        <f>'Projektai is paskolos'!K6</f>
        <v>650</v>
      </c>
      <c r="M20" s="791">
        <f>'Projektai is paskolos'!L6</f>
        <v>6446.1</v>
      </c>
      <c r="N20" s="791">
        <f>'Projektai is paskolos'!M6</f>
        <v>0</v>
      </c>
      <c r="O20" s="791">
        <f>'Projektai is paskolos'!N6</f>
        <v>0</v>
      </c>
      <c r="P20" s="791">
        <f>'Projektai is paskolos'!O6</f>
        <v>0</v>
      </c>
      <c r="Q20" s="994">
        <f t="shared" si="1"/>
        <v>16341.4</v>
      </c>
    </row>
    <row r="21" spans="1:17" s="5" customFormat="1" ht="12.75" customHeight="1" thickBot="1">
      <c r="A21" s="18" t="s">
        <v>543</v>
      </c>
      <c r="B21" s="21" t="s">
        <v>24</v>
      </c>
      <c r="C21" s="20"/>
      <c r="D21" s="792">
        <v>1600</v>
      </c>
      <c r="E21" s="793"/>
      <c r="F21" s="793"/>
      <c r="G21" s="794"/>
      <c r="H21" s="791">
        <f>SUM(D21:G21)</f>
        <v>1600</v>
      </c>
      <c r="I21" s="792"/>
      <c r="J21" s="793"/>
      <c r="K21" s="793"/>
      <c r="L21" s="794"/>
      <c r="M21" s="791">
        <f>SUM(I21:L21)</f>
        <v>0</v>
      </c>
      <c r="N21" s="791"/>
      <c r="O21" s="791"/>
      <c r="P21" s="791"/>
      <c r="Q21" s="995">
        <f t="shared" si="1"/>
        <v>1600</v>
      </c>
    </row>
    <row r="22" spans="1:17" ht="12.75" customHeight="1" thickTop="1">
      <c r="A22" s="22" t="s">
        <v>25</v>
      </c>
      <c r="B22" s="23" t="s">
        <v>560</v>
      </c>
      <c r="C22" s="24"/>
      <c r="D22" s="795">
        <f>IF(D13-D24&lt;0,D13-D24,0)</f>
        <v>0</v>
      </c>
      <c r="E22" s="796">
        <f>IF(E13+D23+D22-E24&lt;0,E13+D23+D22-E24,0)</f>
        <v>0</v>
      </c>
      <c r="F22" s="796">
        <f>IF(F13+E23+E22-F24&lt;0,F13+E23+E22-F24,0)</f>
        <v>0</v>
      </c>
      <c r="G22" s="796">
        <f>IF(G13+F23+F22-G24&lt;0,G13+F23+F22-G24,0)</f>
        <v>-1222.199999999997</v>
      </c>
      <c r="H22" s="797">
        <f>G22</f>
        <v>-1222.199999999997</v>
      </c>
      <c r="I22" s="795">
        <f>IF(I13-I24&lt;0,I13-I24,0)</f>
        <v>0</v>
      </c>
      <c r="J22" s="796">
        <f>IF(J13+I23+I22-J24&lt;0,J13+I23+I22-J24,0)</f>
        <v>0</v>
      </c>
      <c r="K22" s="796">
        <f>IF(K13+J23+J22-K24&lt;0,K13+J23+J22-K24,0)</f>
        <v>0</v>
      </c>
      <c r="L22" s="798">
        <f>IF(L13+K23+K22-L24&lt;0,L13+K23+K22-L24,0)</f>
        <v>0</v>
      </c>
      <c r="M22" s="799">
        <f>L22</f>
        <v>0</v>
      </c>
      <c r="N22" s="799">
        <f>IF(N13-N24&lt;0,N13-N24,0)</f>
        <v>-1562.5</v>
      </c>
      <c r="O22" s="799">
        <f>IF(O13-O24&lt;0,O13-O24,0)</f>
        <v>-736</v>
      </c>
      <c r="P22" s="799">
        <f>IF(P13-P24&lt;0,P13-P24,0)</f>
        <v>0</v>
      </c>
      <c r="Q22" s="996">
        <f>H22+H23+M22+M23+N22+N23+O22+O23+P22+P23</f>
        <v>669.3000000000011</v>
      </c>
    </row>
    <row r="23" spans="1:17" ht="12.75" customHeight="1" thickBot="1">
      <c r="A23" s="743" t="s">
        <v>28</v>
      </c>
      <c r="B23" s="744" t="s">
        <v>29</v>
      </c>
      <c r="C23" s="745"/>
      <c r="D23" s="800">
        <f>IF(D13-D24&gt;0,D13-D24,0)</f>
        <v>2815.800000000001</v>
      </c>
      <c r="E23" s="801">
        <f>IF(E13-E24+D22+D23&gt;0,E13-E24+D22+D23,0)</f>
        <v>2447.800000000001</v>
      </c>
      <c r="F23" s="801">
        <f>IF(F13-F24+E22+E23&gt;0,F13-F24+E22+E23,0)</f>
        <v>1594.800000000003</v>
      </c>
      <c r="G23" s="802">
        <f>IF(G13-G24+F22+F23&gt;0,G13-G24+F22+F23,0)</f>
        <v>0</v>
      </c>
      <c r="H23" s="803">
        <f>G23</f>
        <v>0</v>
      </c>
      <c r="I23" s="800">
        <f>IF(I13-I24&gt;0,I13-I24,0)</f>
        <v>2308</v>
      </c>
      <c r="J23" s="801">
        <f>IF(J13-J24+I22+I23&gt;0,J13-J24+I22+I23,0)</f>
        <v>2392.999999999998</v>
      </c>
      <c r="K23" s="801">
        <f>IF(K13-K24+J22+J23&gt;0,K13-K24+J22+J23,0)</f>
        <v>859.9999999999982</v>
      </c>
      <c r="L23" s="802">
        <f>IF(L13-L24+K22+K23&gt;0,L13-L24+K22+K23,0)</f>
        <v>626.9999999999982</v>
      </c>
      <c r="M23" s="804">
        <f>L23</f>
        <v>626.9999999999982</v>
      </c>
      <c r="N23" s="804">
        <f>IF(N13-N24&gt;0,N13-N24,0)</f>
        <v>0</v>
      </c>
      <c r="O23" s="804">
        <f>IF(O13-O24&gt;0,O13-O24,0)</f>
        <v>0</v>
      </c>
      <c r="P23" s="804">
        <f>IF(P13-P24&gt;0,P13-P24,0)</f>
        <v>3563</v>
      </c>
      <c r="Q23" s="997"/>
    </row>
    <row r="24" spans="1:17" ht="16.5" customHeight="1">
      <c r="A24" s="746" t="s">
        <v>30</v>
      </c>
      <c r="B24" s="16" t="s">
        <v>31</v>
      </c>
      <c r="C24" s="747">
        <f aca="true" t="shared" si="2" ref="C24:P24">SUM(C25+C26+C98)</f>
        <v>59766.200000000004</v>
      </c>
      <c r="D24" s="805">
        <f t="shared" si="2"/>
        <v>5852.9</v>
      </c>
      <c r="E24" s="806">
        <f t="shared" si="2"/>
        <v>19253.5</v>
      </c>
      <c r="F24" s="806">
        <f t="shared" si="2"/>
        <v>14533.3</v>
      </c>
      <c r="G24" s="807">
        <f t="shared" si="2"/>
        <v>23208.800000000003</v>
      </c>
      <c r="H24" s="808">
        <f t="shared" si="2"/>
        <v>62848.5</v>
      </c>
      <c r="I24" s="805">
        <f t="shared" si="2"/>
        <v>15829.5</v>
      </c>
      <c r="J24" s="806">
        <f t="shared" si="2"/>
        <v>10561.7</v>
      </c>
      <c r="K24" s="806">
        <f t="shared" si="2"/>
        <v>11465.1</v>
      </c>
      <c r="L24" s="807">
        <f t="shared" si="2"/>
        <v>5291.7</v>
      </c>
      <c r="M24" s="808">
        <f t="shared" si="2"/>
        <v>43148</v>
      </c>
      <c r="N24" s="808">
        <f t="shared" si="2"/>
        <v>18684.9</v>
      </c>
      <c r="O24" s="808">
        <f t="shared" si="2"/>
        <v>17836</v>
      </c>
      <c r="P24" s="808">
        <f t="shared" si="2"/>
        <v>13537</v>
      </c>
      <c r="Q24" s="998">
        <f>SUM(H24+M24+N24+O24+P24)</f>
        <v>156054.4</v>
      </c>
    </row>
    <row r="25" spans="1:17" ht="16.5" customHeight="1">
      <c r="A25" s="32" t="s">
        <v>32</v>
      </c>
      <c r="B25" s="33" t="s">
        <v>33</v>
      </c>
      <c r="C25" s="722"/>
      <c r="D25" s="723">
        <v>1146</v>
      </c>
      <c r="E25" s="724">
        <v>1146</v>
      </c>
      <c r="F25" s="724">
        <v>1146</v>
      </c>
      <c r="G25" s="725">
        <v>1147</v>
      </c>
      <c r="H25" s="726">
        <v>4585</v>
      </c>
      <c r="I25" s="723">
        <v>1146</v>
      </c>
      <c r="J25" s="724">
        <v>1146</v>
      </c>
      <c r="K25" s="724">
        <v>1146</v>
      </c>
      <c r="L25" s="725">
        <v>1147</v>
      </c>
      <c r="M25" s="726">
        <v>4585</v>
      </c>
      <c r="N25" s="726">
        <v>3946</v>
      </c>
      <c r="O25" s="726">
        <v>3946</v>
      </c>
      <c r="P25" s="726">
        <v>3946</v>
      </c>
      <c r="Q25" s="999">
        <f>SUM(H25+M25+N25+O25+P25)</f>
        <v>21008</v>
      </c>
    </row>
    <row r="26" spans="1:17" ht="16.5" customHeight="1">
      <c r="A26" s="32" t="s">
        <v>64</v>
      </c>
      <c r="B26" s="33" t="s">
        <v>65</v>
      </c>
      <c r="C26" s="722">
        <f aca="true" t="shared" si="3" ref="C26:P26">SUM(C27+C37+C49)</f>
        <v>35766.8</v>
      </c>
      <c r="D26" s="723">
        <f t="shared" si="3"/>
        <v>3281.9</v>
      </c>
      <c r="E26" s="724">
        <f t="shared" si="3"/>
        <v>11630.300000000001</v>
      </c>
      <c r="F26" s="724">
        <f t="shared" si="3"/>
        <v>7497</v>
      </c>
      <c r="G26" s="725">
        <f t="shared" si="3"/>
        <v>15968.9</v>
      </c>
      <c r="H26" s="726">
        <f t="shared" si="3"/>
        <v>38378.1</v>
      </c>
      <c r="I26" s="723">
        <f t="shared" si="3"/>
        <v>4686.799999999999</v>
      </c>
      <c r="J26" s="724">
        <f t="shared" si="3"/>
        <v>6840.5</v>
      </c>
      <c r="K26" s="724">
        <f t="shared" si="3"/>
        <v>8619.1</v>
      </c>
      <c r="L26" s="725">
        <f t="shared" si="3"/>
        <v>2721</v>
      </c>
      <c r="M26" s="726">
        <f t="shared" si="3"/>
        <v>22867.399999999998</v>
      </c>
      <c r="N26" s="726">
        <f t="shared" si="3"/>
        <v>11048.9</v>
      </c>
      <c r="O26" s="726">
        <f t="shared" si="3"/>
        <v>10330</v>
      </c>
      <c r="P26" s="726">
        <f t="shared" si="3"/>
        <v>7161</v>
      </c>
      <c r="Q26" s="999">
        <f>SUM(H26+M26+N26+O26+P26)</f>
        <v>89785.4</v>
      </c>
    </row>
    <row r="27" spans="1:17" ht="16.5" customHeight="1">
      <c r="A27" s="30" t="s">
        <v>35</v>
      </c>
      <c r="B27" s="25" t="s">
        <v>43</v>
      </c>
      <c r="C27" s="727">
        <f>SUM(C28:C36)</f>
        <v>33980.8</v>
      </c>
      <c r="D27" s="728">
        <f aca="true" t="shared" si="4" ref="D27:P27">SUM(D28:D36)</f>
        <v>2496.4</v>
      </c>
      <c r="E27" s="729">
        <f t="shared" si="4"/>
        <v>8429.300000000001</v>
      </c>
      <c r="F27" s="729">
        <f t="shared" si="4"/>
        <v>2475</v>
      </c>
      <c r="G27" s="730">
        <f t="shared" si="4"/>
        <v>11248.9</v>
      </c>
      <c r="H27" s="731">
        <f t="shared" si="4"/>
        <v>24649.6</v>
      </c>
      <c r="I27" s="728">
        <f t="shared" si="4"/>
        <v>4110.799999999999</v>
      </c>
      <c r="J27" s="729">
        <f t="shared" si="4"/>
        <v>4861.5</v>
      </c>
      <c r="K27" s="729">
        <f t="shared" si="4"/>
        <v>3437.1</v>
      </c>
      <c r="L27" s="730">
        <f t="shared" si="4"/>
        <v>950</v>
      </c>
      <c r="M27" s="731">
        <f t="shared" si="4"/>
        <v>13359.399999999998</v>
      </c>
      <c r="N27" s="731">
        <f t="shared" si="4"/>
        <v>1724.9</v>
      </c>
      <c r="O27" s="731">
        <f t="shared" si="4"/>
        <v>1200</v>
      </c>
      <c r="P27" s="731">
        <f t="shared" si="4"/>
        <v>1000</v>
      </c>
      <c r="Q27" s="1000">
        <f aca="true" t="shared" si="5" ref="Q27:Q89">SUM(H27+M27+N27+O27+P27)</f>
        <v>41933.9</v>
      </c>
    </row>
    <row r="28" spans="1:17" s="887" customFormat="1" ht="27" customHeight="1">
      <c r="A28" s="27" t="s">
        <v>66</v>
      </c>
      <c r="B28" s="685" t="str">
        <f>'Investic.projektai'!B18</f>
        <v>Vandens tiekimo ir nuotekų tvarkymo infrastruktūros plėtra Klaipėdoje</v>
      </c>
      <c r="C28" s="738">
        <f>'Investic.projektai'!C18</f>
        <v>21568.8</v>
      </c>
      <c r="D28" s="739">
        <f>'Investic.projektai'!D18</f>
        <v>1786.4</v>
      </c>
      <c r="E28" s="740">
        <f>'Investic.projektai'!E18</f>
        <v>5278.400000000001</v>
      </c>
      <c r="F28" s="740">
        <f>'Investic.projektai'!F18</f>
        <v>0</v>
      </c>
      <c r="G28" s="741">
        <f>'Investic.projektai'!G18</f>
        <v>4586</v>
      </c>
      <c r="H28" s="742">
        <f>SUM(D28:G28)</f>
        <v>11650.800000000001</v>
      </c>
      <c r="I28" s="739">
        <f>'Investic.projektai'!I18</f>
        <v>0</v>
      </c>
      <c r="J28" s="740">
        <f>'Investic.projektai'!J18</f>
        <v>3720.5999999999995</v>
      </c>
      <c r="K28" s="740">
        <f>'Investic.projektai'!K18</f>
        <v>2307.1</v>
      </c>
      <c r="L28" s="741">
        <f>'Investic.projektai'!L18</f>
        <v>0</v>
      </c>
      <c r="M28" s="742">
        <f>SUM(I28:L28)</f>
        <v>6027.699999999999</v>
      </c>
      <c r="N28" s="742">
        <f>'Investic.projektai'!N18</f>
        <v>10.2</v>
      </c>
      <c r="O28" s="742">
        <f>'Investic.projektai'!O18</f>
        <v>0</v>
      </c>
      <c r="P28" s="742">
        <f>'Investic.projektai'!P18</f>
        <v>0</v>
      </c>
      <c r="Q28" s="1001">
        <f t="shared" si="5"/>
        <v>17688.7</v>
      </c>
    </row>
    <row r="29" spans="1:17" s="887" customFormat="1" ht="16.5" customHeight="1">
      <c r="A29" s="27" t="s">
        <v>67</v>
      </c>
      <c r="B29" s="684" t="str">
        <f>'[1]Infr.pltr. Klaipedoje'!$B$75</f>
        <v>Vandentiekio ir nuotekų tinklų plėtra Klaipėdos rajone</v>
      </c>
      <c r="C29" s="738">
        <f>'Investic.projektai'!C91</f>
        <v>1025.1</v>
      </c>
      <c r="D29" s="739">
        <f>'Investic.projektai'!D91</f>
        <v>22</v>
      </c>
      <c r="E29" s="740">
        <f>'Investic.projektai'!E91</f>
        <v>714.9000000000001</v>
      </c>
      <c r="F29" s="740">
        <f>'Investic.projektai'!F91</f>
        <v>275</v>
      </c>
      <c r="G29" s="741">
        <f>'Investic.projektai'!G91</f>
        <v>220</v>
      </c>
      <c r="H29" s="742">
        <f>SUM(D29:G29)</f>
        <v>1231.9</v>
      </c>
      <c r="I29" s="739">
        <f>'Investic.projektai'!I91</f>
        <v>988.9999999999999</v>
      </c>
      <c r="J29" s="740">
        <f>'Investic.projektai'!J91</f>
        <v>170.9</v>
      </c>
      <c r="K29" s="740">
        <f>'Investic.projektai'!K91</f>
        <v>0</v>
      </c>
      <c r="L29" s="741">
        <f>'Investic.projektai'!L91</f>
        <v>0</v>
      </c>
      <c r="M29" s="742">
        <f>SUM(I29:L29)</f>
        <v>1159.8999999999999</v>
      </c>
      <c r="N29" s="742">
        <f>'Investic.projektai'!N91</f>
        <v>0</v>
      </c>
      <c r="O29" s="742">
        <f>'Investic.projektai'!O91</f>
        <v>0</v>
      </c>
      <c r="P29" s="742">
        <f>'Investic.projektai'!P91</f>
        <v>0</v>
      </c>
      <c r="Q29" s="1001">
        <f t="shared" si="5"/>
        <v>2391.8</v>
      </c>
    </row>
    <row r="30" spans="1:17" s="887" customFormat="1" ht="16.5" customHeight="1">
      <c r="A30" s="27" t="s">
        <v>68</v>
      </c>
      <c r="B30" s="684" t="str">
        <f>'Investic.projektai'!B96</f>
        <v>Klaipėdos dumblo apdorojimo įrenginių statyba</v>
      </c>
      <c r="C30" s="738">
        <f>'Investic.projektai'!C96</f>
        <v>11218.099999999999</v>
      </c>
      <c r="D30" s="739">
        <f>'Investic.projektai'!D96</f>
        <v>330</v>
      </c>
      <c r="E30" s="740">
        <f>'Investic.projektai'!E96</f>
        <v>1969</v>
      </c>
      <c r="F30" s="740">
        <f>'Investic.projektai'!F96</f>
        <v>1650</v>
      </c>
      <c r="G30" s="741">
        <f>'Investic.projektai'!G96</f>
        <v>4642.9</v>
      </c>
      <c r="H30" s="742">
        <f>SUM(D30:G30)</f>
        <v>8591.9</v>
      </c>
      <c r="I30" s="739">
        <f>'Investic.projektai'!I96</f>
        <v>2701.7999999999997</v>
      </c>
      <c r="J30" s="740">
        <f>'Investic.projektai'!J96</f>
        <v>0</v>
      </c>
      <c r="K30" s="740">
        <f>'Investic.projektai'!K96</f>
        <v>0</v>
      </c>
      <c r="L30" s="741">
        <f>'Investic.projektai'!L96</f>
        <v>0</v>
      </c>
      <c r="M30" s="742">
        <f>SUM(I30:L30)</f>
        <v>2701.7999999999997</v>
      </c>
      <c r="N30" s="742">
        <f>'Investic.projektai'!N96</f>
        <v>14.700000000000001</v>
      </c>
      <c r="O30" s="742">
        <f>'Investic.projektai'!O96</f>
        <v>0</v>
      </c>
      <c r="P30" s="742">
        <f>'Investic.projektai'!P96</f>
        <v>0</v>
      </c>
      <c r="Q30" s="1001">
        <f t="shared" si="5"/>
        <v>11308.4</v>
      </c>
    </row>
    <row r="31" spans="1:17" ht="16.5" customHeight="1">
      <c r="A31" s="27" t="s">
        <v>69</v>
      </c>
      <c r="B31" s="684" t="str">
        <f>Tinklai!B17</f>
        <v>Vandentiekio ir nuotekų tinklų plėtra</v>
      </c>
      <c r="C31" s="738">
        <f>Tinklai!J17</f>
        <v>24.8</v>
      </c>
      <c r="D31" s="739">
        <f>Tinklai!K17</f>
        <v>258</v>
      </c>
      <c r="E31" s="740">
        <f>Tinklai!L17</f>
        <v>367</v>
      </c>
      <c r="F31" s="740">
        <f>Tinklai!M17</f>
        <v>450</v>
      </c>
      <c r="G31" s="741">
        <f>Tinklai!N17</f>
        <v>1611</v>
      </c>
      <c r="H31" s="742">
        <f aca="true" t="shared" si="6" ref="H31:H36">SUM(D31:G31)</f>
        <v>2686</v>
      </c>
      <c r="I31" s="739">
        <f>Tinklai!P17</f>
        <v>420</v>
      </c>
      <c r="J31" s="740">
        <f>Tinklai!Q17</f>
        <v>970</v>
      </c>
      <c r="K31" s="740">
        <f>Tinklai!R17</f>
        <v>1130</v>
      </c>
      <c r="L31" s="741">
        <f>Tinklai!S17</f>
        <v>950</v>
      </c>
      <c r="M31" s="742">
        <f aca="true" t="shared" si="7" ref="M31:M36">SUM(I31:L31)</f>
        <v>3470</v>
      </c>
      <c r="N31" s="742">
        <f>Tinklai!U17</f>
        <v>1700</v>
      </c>
      <c r="O31" s="742">
        <f>Tinklai!V17</f>
        <v>1200</v>
      </c>
      <c r="P31" s="742">
        <f>Tinklai!W17</f>
        <v>1000</v>
      </c>
      <c r="Q31" s="1001">
        <f t="shared" si="5"/>
        <v>10056</v>
      </c>
    </row>
    <row r="32" spans="1:17" ht="16.5" customHeight="1">
      <c r="A32" s="27" t="s">
        <v>70</v>
      </c>
      <c r="B32" s="684" t="str">
        <f>Tinklai!B18</f>
        <v>Įvadų ir išvadų statyba iki sklypo ribų</v>
      </c>
      <c r="C32" s="738">
        <f>Tinklai!J18</f>
        <v>144</v>
      </c>
      <c r="D32" s="739">
        <f>Tinklai!K18</f>
        <v>0</v>
      </c>
      <c r="E32" s="740">
        <f>Tinklai!L18</f>
        <v>100</v>
      </c>
      <c r="F32" s="740">
        <f>Tinklai!M18</f>
        <v>100</v>
      </c>
      <c r="G32" s="741">
        <f>Tinklai!N18</f>
        <v>189</v>
      </c>
      <c r="H32" s="742">
        <f t="shared" si="6"/>
        <v>389</v>
      </c>
      <c r="I32" s="739">
        <f>Tinklai!P18</f>
        <v>0</v>
      </c>
      <c r="J32" s="740">
        <f>Tinklai!Q18</f>
        <v>0</v>
      </c>
      <c r="K32" s="740">
        <f>Tinklai!R18</f>
        <v>0</v>
      </c>
      <c r="L32" s="741">
        <f>Tinklai!S18</f>
        <v>0</v>
      </c>
      <c r="M32" s="742">
        <f t="shared" si="7"/>
        <v>0</v>
      </c>
      <c r="N32" s="742">
        <f>Tinklai!U18</f>
        <v>0</v>
      </c>
      <c r="O32" s="742">
        <f>Tinklai!V18</f>
        <v>0</v>
      </c>
      <c r="P32" s="742">
        <f>Tinklai!W18</f>
        <v>0</v>
      </c>
      <c r="Q32" s="1001">
        <f t="shared" si="5"/>
        <v>389</v>
      </c>
    </row>
    <row r="33" spans="1:17" ht="35.25" customHeight="1">
      <c r="A33" s="27" t="s">
        <v>71</v>
      </c>
      <c r="B33" s="685" t="str">
        <f>Nuotekos!B17</f>
        <v>Nuotekų dumblo utilizavimo technologijų įvertinimas ir ekonomiškiausios technologijos parinkimas</v>
      </c>
      <c r="C33" s="732">
        <f>Nuotekos!C17</f>
        <v>0</v>
      </c>
      <c r="D33" s="739">
        <f>Nuotekos!D17</f>
        <v>100</v>
      </c>
      <c r="E33" s="740">
        <f>Nuotekos!E17</f>
        <v>0</v>
      </c>
      <c r="F33" s="740">
        <f>Nuotekos!F17</f>
        <v>0</v>
      </c>
      <c r="G33" s="741">
        <f>Nuotekos!G17</f>
        <v>0</v>
      </c>
      <c r="H33" s="742">
        <f t="shared" si="6"/>
        <v>100</v>
      </c>
      <c r="I33" s="733">
        <f>Nuotekos!I17</f>
        <v>0</v>
      </c>
      <c r="J33" s="734">
        <f>Nuotekos!J17</f>
        <v>0</v>
      </c>
      <c r="K33" s="734">
        <f>Nuotekos!K17</f>
        <v>0</v>
      </c>
      <c r="L33" s="735">
        <f>Nuotekos!L17</f>
        <v>0</v>
      </c>
      <c r="M33" s="742">
        <f t="shared" si="7"/>
        <v>0</v>
      </c>
      <c r="N33" s="736">
        <f>Nuotekos!N17</f>
        <v>0</v>
      </c>
      <c r="O33" s="736">
        <f>Nuotekos!O17</f>
        <v>0</v>
      </c>
      <c r="P33" s="736">
        <f>Nuotekos!P17</f>
        <v>0</v>
      </c>
      <c r="Q33" s="1001">
        <f t="shared" si="5"/>
        <v>100</v>
      </c>
    </row>
    <row r="34" spans="1:17" ht="16.5" customHeight="1" hidden="1">
      <c r="A34" s="27" t="s">
        <v>69</v>
      </c>
      <c r="B34" s="26"/>
      <c r="C34" s="732"/>
      <c r="D34" s="733"/>
      <c r="E34" s="734"/>
      <c r="F34" s="734"/>
      <c r="G34" s="735"/>
      <c r="H34" s="736">
        <f t="shared" si="6"/>
        <v>0</v>
      </c>
      <c r="I34" s="733"/>
      <c r="J34" s="734"/>
      <c r="K34" s="734"/>
      <c r="L34" s="735"/>
      <c r="M34" s="736">
        <f t="shared" si="7"/>
        <v>0</v>
      </c>
      <c r="N34" s="736"/>
      <c r="O34" s="736"/>
      <c r="P34" s="736"/>
      <c r="Q34" s="1001">
        <f t="shared" si="5"/>
        <v>0</v>
      </c>
    </row>
    <row r="35" spans="1:17" ht="16.5" customHeight="1" hidden="1">
      <c r="A35" s="27" t="s">
        <v>70</v>
      </c>
      <c r="B35" s="26"/>
      <c r="C35" s="732"/>
      <c r="D35" s="733"/>
      <c r="E35" s="734"/>
      <c r="F35" s="734"/>
      <c r="G35" s="735"/>
      <c r="H35" s="736">
        <f t="shared" si="6"/>
        <v>0</v>
      </c>
      <c r="I35" s="733"/>
      <c r="J35" s="734"/>
      <c r="K35" s="734"/>
      <c r="L35" s="735"/>
      <c r="M35" s="736">
        <f t="shared" si="7"/>
        <v>0</v>
      </c>
      <c r="N35" s="736"/>
      <c r="O35" s="736"/>
      <c r="P35" s="736"/>
      <c r="Q35" s="1001">
        <f t="shared" si="5"/>
        <v>0</v>
      </c>
    </row>
    <row r="36" spans="1:17" ht="11.25" customHeight="1" hidden="1">
      <c r="A36" s="27" t="s">
        <v>71</v>
      </c>
      <c r="B36" s="26"/>
      <c r="C36" s="732"/>
      <c r="D36" s="733"/>
      <c r="E36" s="734"/>
      <c r="F36" s="734"/>
      <c r="G36" s="735"/>
      <c r="H36" s="736">
        <f t="shared" si="6"/>
        <v>0</v>
      </c>
      <c r="I36" s="733"/>
      <c r="J36" s="734"/>
      <c r="K36" s="734"/>
      <c r="L36" s="735"/>
      <c r="M36" s="736">
        <f t="shared" si="7"/>
        <v>0</v>
      </c>
      <c r="N36" s="736"/>
      <c r="O36" s="736"/>
      <c r="P36" s="736"/>
      <c r="Q36" s="1001">
        <f t="shared" si="5"/>
        <v>0</v>
      </c>
    </row>
    <row r="37" spans="1:17" ht="18.75" customHeight="1">
      <c r="A37" s="31" t="s">
        <v>36</v>
      </c>
      <c r="B37" s="25" t="s">
        <v>44</v>
      </c>
      <c r="C37" s="727">
        <f aca="true" t="shared" si="8" ref="C37:P37">SUM(C38:C48)</f>
        <v>0</v>
      </c>
      <c r="D37" s="728">
        <f t="shared" si="8"/>
        <v>22</v>
      </c>
      <c r="E37" s="729">
        <f t="shared" si="8"/>
        <v>687</v>
      </c>
      <c r="F37" s="729">
        <f t="shared" si="8"/>
        <v>430</v>
      </c>
      <c r="G37" s="730">
        <f t="shared" si="8"/>
        <v>804</v>
      </c>
      <c r="H37" s="731">
        <f t="shared" si="8"/>
        <v>1943</v>
      </c>
      <c r="I37" s="728">
        <f t="shared" si="8"/>
        <v>0</v>
      </c>
      <c r="J37" s="729">
        <f t="shared" si="8"/>
        <v>375</v>
      </c>
      <c r="K37" s="729">
        <f t="shared" si="8"/>
        <v>570</v>
      </c>
      <c r="L37" s="730">
        <f t="shared" si="8"/>
        <v>700</v>
      </c>
      <c r="M37" s="731">
        <f t="shared" si="8"/>
        <v>1645</v>
      </c>
      <c r="N37" s="731">
        <f t="shared" si="8"/>
        <v>1190</v>
      </c>
      <c r="O37" s="731">
        <f t="shared" si="8"/>
        <v>870</v>
      </c>
      <c r="P37" s="731">
        <f t="shared" si="8"/>
        <v>1050</v>
      </c>
      <c r="Q37" s="1000">
        <f t="shared" si="5"/>
        <v>6698</v>
      </c>
    </row>
    <row r="38" spans="1:17" ht="16.5" customHeight="1">
      <c r="A38" s="27" t="s">
        <v>430</v>
      </c>
      <c r="B38" s="684" t="str">
        <f>Tinklai!B29</f>
        <v>Vandentiekio ir nuotekų tinklų įsigijimas</v>
      </c>
      <c r="C38" s="732">
        <f>Tinklai!J29</f>
        <v>0</v>
      </c>
      <c r="D38" s="739">
        <f>Tinklai!K29</f>
        <v>0</v>
      </c>
      <c r="E38" s="740">
        <f>Tinklai!L29</f>
        <v>212</v>
      </c>
      <c r="F38" s="740">
        <f>Tinklai!M29</f>
        <v>0</v>
      </c>
      <c r="G38" s="741">
        <f>Tinklai!N29</f>
        <v>44</v>
      </c>
      <c r="H38" s="742">
        <f aca="true" t="shared" si="9" ref="H38:H47">SUM(D38:G38)</f>
        <v>256</v>
      </c>
      <c r="I38" s="739">
        <f>Tinklai!P29</f>
        <v>0</v>
      </c>
      <c r="J38" s="740">
        <f>Tinklai!Q29</f>
        <v>0</v>
      </c>
      <c r="K38" s="740">
        <f>Tinklai!R29</f>
        <v>0</v>
      </c>
      <c r="L38" s="741">
        <f>Tinklai!S29</f>
        <v>200</v>
      </c>
      <c r="M38" s="742">
        <f aca="true" t="shared" si="10" ref="M38:M47">SUM(I38:L38)</f>
        <v>200</v>
      </c>
      <c r="N38" s="742">
        <f>Tinklai!U29</f>
        <v>200</v>
      </c>
      <c r="O38" s="742">
        <f>Tinklai!V29</f>
        <v>200</v>
      </c>
      <c r="P38" s="742">
        <f>Tinklai!W29</f>
        <v>200</v>
      </c>
      <c r="Q38" s="1001">
        <f t="shared" si="5"/>
        <v>1056</v>
      </c>
    </row>
    <row r="39" spans="1:17" ht="16.5" customHeight="1">
      <c r="A39" s="27" t="s">
        <v>431</v>
      </c>
      <c r="B39" s="771" t="str">
        <f>Nuotekos!B38</f>
        <v>Įrengimai nuotekų siurblinėms</v>
      </c>
      <c r="C39" s="732">
        <f>Nuotekos!C38</f>
        <v>0</v>
      </c>
      <c r="D39" s="739">
        <f>Nuotekos!D38</f>
        <v>0</v>
      </c>
      <c r="E39" s="740">
        <f>Nuotekos!E38</f>
        <v>0</v>
      </c>
      <c r="F39" s="740">
        <f>Nuotekos!F38</f>
        <v>150</v>
      </c>
      <c r="G39" s="741">
        <f>Nuotekos!G38</f>
        <v>200</v>
      </c>
      <c r="H39" s="742">
        <f t="shared" si="9"/>
        <v>350</v>
      </c>
      <c r="I39" s="739">
        <f>Nuotekos!I38</f>
        <v>0</v>
      </c>
      <c r="J39" s="740">
        <f>Nuotekos!J38</f>
        <v>200</v>
      </c>
      <c r="K39" s="740">
        <f>Nuotekos!K38</f>
        <v>40</v>
      </c>
      <c r="L39" s="741">
        <f>Nuotekos!L38</f>
        <v>0</v>
      </c>
      <c r="M39" s="742">
        <f t="shared" si="10"/>
        <v>240</v>
      </c>
      <c r="N39" s="742">
        <f>Nuotekos!N38</f>
        <v>0</v>
      </c>
      <c r="O39" s="742">
        <f>Nuotekos!O38</f>
        <v>0</v>
      </c>
      <c r="P39" s="742">
        <f>Nuotekos!P38</f>
        <v>0</v>
      </c>
      <c r="Q39" s="1001">
        <f t="shared" si="5"/>
        <v>590</v>
      </c>
    </row>
    <row r="40" spans="1:17" ht="16.5" customHeight="1">
      <c r="A40" s="27" t="s">
        <v>432</v>
      </c>
      <c r="B40" s="771" t="str">
        <f>Nuotekos!B39</f>
        <v>NS Nr.6 elektrifikuoto uždorio D1500 įrengimas</v>
      </c>
      <c r="C40" s="732">
        <f>Nuotekos!C39</f>
        <v>0</v>
      </c>
      <c r="D40" s="739">
        <f>Nuotekos!D39</f>
        <v>0</v>
      </c>
      <c r="E40" s="740">
        <f>Nuotekos!E39</f>
        <v>0</v>
      </c>
      <c r="F40" s="740">
        <f>Nuotekos!F39</f>
        <v>0</v>
      </c>
      <c r="G40" s="741">
        <f>Nuotekos!G39</f>
        <v>0</v>
      </c>
      <c r="H40" s="742">
        <f t="shared" si="9"/>
        <v>0</v>
      </c>
      <c r="I40" s="739">
        <f>Nuotekos!I39</f>
        <v>0</v>
      </c>
      <c r="J40" s="740">
        <f>Nuotekos!J39</f>
        <v>0</v>
      </c>
      <c r="K40" s="740">
        <f>Nuotekos!K39</f>
        <v>350</v>
      </c>
      <c r="L40" s="741">
        <f>Nuotekos!L39</f>
        <v>0</v>
      </c>
      <c r="M40" s="742">
        <f t="shared" si="10"/>
        <v>350</v>
      </c>
      <c r="N40" s="742">
        <f>Nuotekos!N39</f>
        <v>0</v>
      </c>
      <c r="O40" s="742">
        <f>Nuotekos!O39</f>
        <v>0</v>
      </c>
      <c r="P40" s="742">
        <f>Nuotekos!P39</f>
        <v>0</v>
      </c>
      <c r="Q40" s="1001">
        <f t="shared" si="5"/>
        <v>350</v>
      </c>
    </row>
    <row r="41" spans="1:17" ht="16.5" customHeight="1">
      <c r="A41" s="27" t="s">
        <v>433</v>
      </c>
      <c r="B41" s="771" t="str">
        <f>Nuotekos!B40</f>
        <v>Naujų nuotekų siurblinių įsigijimas </v>
      </c>
      <c r="C41" s="732">
        <f>Nuotekos!C40</f>
        <v>0</v>
      </c>
      <c r="D41" s="739">
        <f>Nuotekos!D40</f>
        <v>0</v>
      </c>
      <c r="E41" s="740">
        <f>Nuotekos!E40</f>
        <v>0</v>
      </c>
      <c r="F41" s="740">
        <f>Nuotekos!F40</f>
        <v>0</v>
      </c>
      <c r="G41" s="741">
        <f>Nuotekos!G40</f>
        <v>400</v>
      </c>
      <c r="H41" s="742">
        <f t="shared" si="9"/>
        <v>400</v>
      </c>
      <c r="I41" s="739">
        <f>Nuotekos!I40</f>
        <v>0</v>
      </c>
      <c r="J41" s="740">
        <f>Nuotekos!J40</f>
        <v>0</v>
      </c>
      <c r="K41" s="740">
        <f>Nuotekos!K40</f>
        <v>0</v>
      </c>
      <c r="L41" s="741">
        <f>Nuotekos!L40</f>
        <v>400</v>
      </c>
      <c r="M41" s="742">
        <f t="shared" si="10"/>
        <v>400</v>
      </c>
      <c r="N41" s="742">
        <f>Nuotekos!N40</f>
        <v>100</v>
      </c>
      <c r="O41" s="742">
        <f>Nuotekos!O40</f>
        <v>100</v>
      </c>
      <c r="P41" s="742">
        <f>Nuotekos!P40</f>
        <v>100</v>
      </c>
      <c r="Q41" s="1001">
        <f t="shared" si="5"/>
        <v>1100</v>
      </c>
    </row>
    <row r="42" spans="1:17" ht="30" customHeight="1">
      <c r="A42" s="27" t="s">
        <v>434</v>
      </c>
      <c r="B42" s="783" t="str">
        <f>Nuotekos!B41</f>
        <v>Paskirstymo kamerų uždorių automatizavimas nuotekų valykloje</v>
      </c>
      <c r="C42" s="732">
        <f>Nuotekos!C41</f>
        <v>0</v>
      </c>
      <c r="D42" s="739">
        <f>Nuotekos!D41</f>
        <v>0</v>
      </c>
      <c r="E42" s="740">
        <f>Nuotekos!E41</f>
        <v>370</v>
      </c>
      <c r="F42" s="740">
        <f>Nuotekos!F41</f>
        <v>0</v>
      </c>
      <c r="G42" s="741">
        <f>Nuotekos!G41</f>
        <v>0</v>
      </c>
      <c r="H42" s="742">
        <f t="shared" si="9"/>
        <v>370</v>
      </c>
      <c r="I42" s="739">
        <f>Nuotekos!I41</f>
        <v>0</v>
      </c>
      <c r="J42" s="740">
        <f>Nuotekos!J41</f>
        <v>0</v>
      </c>
      <c r="K42" s="740">
        <f>Nuotekos!K41</f>
        <v>0</v>
      </c>
      <c r="L42" s="741">
        <f>Nuotekos!L41</f>
        <v>0</v>
      </c>
      <c r="M42" s="742">
        <f t="shared" si="10"/>
        <v>0</v>
      </c>
      <c r="N42" s="742">
        <f>Nuotekos!N41</f>
        <v>0</v>
      </c>
      <c r="O42" s="742">
        <f>Nuotekos!O41</f>
        <v>0</v>
      </c>
      <c r="P42" s="742">
        <f>Nuotekos!P41</f>
        <v>0</v>
      </c>
      <c r="Q42" s="1001">
        <f t="shared" si="5"/>
        <v>370</v>
      </c>
    </row>
    <row r="43" spans="1:17" ht="16.5" customHeight="1">
      <c r="A43" s="27" t="s">
        <v>435</v>
      </c>
      <c r="B43" s="771" t="str">
        <f>Nuotekos!B42</f>
        <v>Prietaisai nuotekų tyrimo laboratorijai</v>
      </c>
      <c r="C43" s="732">
        <f>Nuotekos!C42</f>
        <v>0</v>
      </c>
      <c r="D43" s="739">
        <f>Nuotekos!D42</f>
        <v>0</v>
      </c>
      <c r="E43" s="740">
        <f>Nuotekos!E42</f>
        <v>0</v>
      </c>
      <c r="F43" s="740">
        <f>Nuotekos!F42</f>
        <v>30</v>
      </c>
      <c r="G43" s="741">
        <f>Nuotekos!G42</f>
        <v>0</v>
      </c>
      <c r="H43" s="742">
        <f t="shared" si="9"/>
        <v>30</v>
      </c>
      <c r="I43" s="739">
        <f>Nuotekos!I42</f>
        <v>0</v>
      </c>
      <c r="J43" s="740">
        <f>Nuotekos!J42</f>
        <v>5</v>
      </c>
      <c r="K43" s="740">
        <f>Nuotekos!K42</f>
        <v>10</v>
      </c>
      <c r="L43" s="741">
        <f>Nuotekos!L42</f>
        <v>0</v>
      </c>
      <c r="M43" s="742">
        <f t="shared" si="10"/>
        <v>15</v>
      </c>
      <c r="N43" s="742">
        <f>Nuotekos!N42</f>
        <v>0</v>
      </c>
      <c r="O43" s="742">
        <f>Nuotekos!O42</f>
        <v>0</v>
      </c>
      <c r="P43" s="742">
        <f>Nuotekos!P42</f>
        <v>180</v>
      </c>
      <c r="Q43" s="1001">
        <f t="shared" si="5"/>
        <v>225</v>
      </c>
    </row>
    <row r="44" spans="1:17" ht="27" customHeight="1">
      <c r="A44" s="27" t="s">
        <v>436</v>
      </c>
      <c r="B44" s="783" t="str">
        <f>Ukis!B38</f>
        <v>Finansinių, gamybinių, pardavimų apskaitos programų diegimas ir vystymas</v>
      </c>
      <c r="C44" s="732">
        <f>Ukis!C38</f>
        <v>0</v>
      </c>
      <c r="D44" s="739">
        <f>Ukis!D38</f>
        <v>20</v>
      </c>
      <c r="E44" s="740">
        <f>Ukis!E38</f>
        <v>100</v>
      </c>
      <c r="F44" s="740">
        <f>Ukis!F38</f>
        <v>100</v>
      </c>
      <c r="G44" s="741">
        <f>Ukis!G38</f>
        <v>80</v>
      </c>
      <c r="H44" s="742">
        <f t="shared" si="9"/>
        <v>300</v>
      </c>
      <c r="I44" s="739">
        <f>Ukis!I38</f>
        <v>0</v>
      </c>
      <c r="J44" s="740">
        <f>Ukis!J38</f>
        <v>100</v>
      </c>
      <c r="K44" s="740">
        <f>Ukis!K38</f>
        <v>120</v>
      </c>
      <c r="L44" s="741">
        <f>Ukis!L38</f>
        <v>100</v>
      </c>
      <c r="M44" s="742">
        <f t="shared" si="10"/>
        <v>320</v>
      </c>
      <c r="N44" s="742">
        <f>Ukis!N38</f>
        <v>450</v>
      </c>
      <c r="O44" s="742">
        <f>Ukis!O38</f>
        <v>400</v>
      </c>
      <c r="P44" s="742">
        <f>Ukis!P38</f>
        <v>500</v>
      </c>
      <c r="Q44" s="1001">
        <f t="shared" si="5"/>
        <v>1970</v>
      </c>
    </row>
    <row r="45" spans="1:17" ht="16.5" customHeight="1">
      <c r="A45" s="27" t="s">
        <v>437</v>
      </c>
      <c r="B45" s="771" t="str">
        <f>Ukis!B39</f>
        <v>Vienos dispečerinės projektas</v>
      </c>
      <c r="C45" s="732">
        <f>Tinklai!J30+Ukis!C39</f>
        <v>0</v>
      </c>
      <c r="D45" s="739">
        <f>Tinklai!K30+Ukis!D39</f>
        <v>2</v>
      </c>
      <c r="E45" s="740">
        <f>Tinklai!L30+Ukis!E39</f>
        <v>5</v>
      </c>
      <c r="F45" s="740">
        <f>Tinklai!M30+Ukis!F39</f>
        <v>0</v>
      </c>
      <c r="G45" s="741">
        <f>Tinklai!N30+Ukis!G39</f>
        <v>30</v>
      </c>
      <c r="H45" s="742">
        <f t="shared" si="9"/>
        <v>37</v>
      </c>
      <c r="I45" s="739">
        <f>Tinklai!P30+Ukis!I39</f>
        <v>0</v>
      </c>
      <c r="J45" s="740">
        <f>Tinklai!Q30+Ukis!J39</f>
        <v>40</v>
      </c>
      <c r="K45" s="740">
        <f>Tinklai!R30+Ukis!K39</f>
        <v>0</v>
      </c>
      <c r="L45" s="741">
        <f>Tinklai!S30+Ukis!L39</f>
        <v>0</v>
      </c>
      <c r="M45" s="742">
        <f t="shared" si="10"/>
        <v>40</v>
      </c>
      <c r="N45" s="742">
        <f>Tinklai!U30+Ukis!N39</f>
        <v>40</v>
      </c>
      <c r="O45" s="742">
        <f>Tinklai!V30+Ukis!O39</f>
        <v>90</v>
      </c>
      <c r="P45" s="742">
        <f>Tinklai!W30+Ukis!P39</f>
        <v>40</v>
      </c>
      <c r="Q45" s="1001">
        <f t="shared" si="5"/>
        <v>247</v>
      </c>
    </row>
    <row r="46" spans="1:17" ht="16.5" customHeight="1">
      <c r="A46" s="27" t="s">
        <v>438</v>
      </c>
      <c r="B46" s="771" t="str">
        <f>Ukis!B40</f>
        <v>SCADA vystymas</v>
      </c>
      <c r="C46" s="732">
        <f>Ukis!C40</f>
        <v>0</v>
      </c>
      <c r="D46" s="739">
        <f>Ukis!D40</f>
        <v>0</v>
      </c>
      <c r="E46" s="740">
        <f>Ukis!E40</f>
        <v>0</v>
      </c>
      <c r="F46" s="740">
        <f>Ukis!F40</f>
        <v>100</v>
      </c>
      <c r="G46" s="741">
        <f>Ukis!G40</f>
        <v>50</v>
      </c>
      <c r="H46" s="742">
        <f t="shared" si="9"/>
        <v>150</v>
      </c>
      <c r="I46" s="739">
        <f>Ukis!I40</f>
        <v>0</v>
      </c>
      <c r="J46" s="740">
        <f>Ukis!J40</f>
        <v>0</v>
      </c>
      <c r="K46" s="740">
        <f>Ukis!K40</f>
        <v>50</v>
      </c>
      <c r="L46" s="741">
        <f>Ukis!L40</f>
        <v>0</v>
      </c>
      <c r="M46" s="742">
        <f t="shared" si="10"/>
        <v>50</v>
      </c>
      <c r="N46" s="742">
        <f>Ukis!N40</f>
        <v>400</v>
      </c>
      <c r="O46" s="742">
        <f>Ukis!O40</f>
        <v>50</v>
      </c>
      <c r="P46" s="742">
        <f>Ukis!P40</f>
        <v>0</v>
      </c>
      <c r="Q46" s="1001">
        <f t="shared" si="5"/>
        <v>650</v>
      </c>
    </row>
    <row r="47" spans="1:17" ht="16.5" customHeight="1">
      <c r="A47" s="27" t="s">
        <v>439</v>
      </c>
      <c r="B47" s="771" t="str">
        <f>Ukis!B41</f>
        <v>Techninio aptarnavimo sistemos vystymas</v>
      </c>
      <c r="C47" s="732">
        <f>Ukis!C41</f>
        <v>0</v>
      </c>
      <c r="D47" s="739">
        <f>Ukis!D41</f>
        <v>0</v>
      </c>
      <c r="E47" s="740">
        <f>Ukis!E41</f>
        <v>0</v>
      </c>
      <c r="F47" s="740">
        <f>Ukis!F41</f>
        <v>50</v>
      </c>
      <c r="G47" s="741">
        <f>Ukis!G41</f>
        <v>0</v>
      </c>
      <c r="H47" s="742">
        <f t="shared" si="9"/>
        <v>50</v>
      </c>
      <c r="I47" s="739">
        <f>Ukis!I41</f>
        <v>0</v>
      </c>
      <c r="J47" s="740">
        <f>Ukis!J41</f>
        <v>30</v>
      </c>
      <c r="K47" s="740">
        <f>Ukis!K41</f>
        <v>0</v>
      </c>
      <c r="L47" s="741">
        <f>Ukis!L41</f>
        <v>0</v>
      </c>
      <c r="M47" s="742">
        <f t="shared" si="10"/>
        <v>30</v>
      </c>
      <c r="N47" s="742">
        <f>Ukis!N41</f>
        <v>0</v>
      </c>
      <c r="O47" s="742">
        <f>Ukis!O41</f>
        <v>30</v>
      </c>
      <c r="P47" s="742">
        <f>Ukis!P41</f>
        <v>30</v>
      </c>
      <c r="Q47" s="1001">
        <f t="shared" si="5"/>
        <v>140</v>
      </c>
    </row>
    <row r="48" spans="1:17" ht="16.5" customHeight="1" hidden="1">
      <c r="A48" s="27"/>
      <c r="B48" s="771">
        <f>Ukis!B42</f>
        <v>0</v>
      </c>
      <c r="C48" s="732">
        <f>Ukis!C42</f>
        <v>0</v>
      </c>
      <c r="D48" s="739">
        <f>Ukis!D42</f>
        <v>0</v>
      </c>
      <c r="E48" s="740">
        <f>Ukis!E42</f>
        <v>0</v>
      </c>
      <c r="F48" s="740">
        <f>Ukis!F42</f>
        <v>0</v>
      </c>
      <c r="G48" s="741">
        <f>Ukis!G42</f>
        <v>0</v>
      </c>
      <c r="H48" s="742">
        <f>Ukis!H42</f>
        <v>0</v>
      </c>
      <c r="I48" s="739">
        <f>Ukis!I42</f>
        <v>0</v>
      </c>
      <c r="J48" s="740">
        <f>Ukis!J42</f>
        <v>0</v>
      </c>
      <c r="K48" s="740">
        <f>Ukis!K42</f>
        <v>0</v>
      </c>
      <c r="L48" s="741">
        <f>Ukis!L42</f>
        <v>0</v>
      </c>
      <c r="M48" s="742">
        <f>Ukis!M42</f>
        <v>0</v>
      </c>
      <c r="N48" s="742">
        <f>Ukis!N42</f>
        <v>0</v>
      </c>
      <c r="O48" s="742">
        <f>Ukis!O42</f>
        <v>0</v>
      </c>
      <c r="P48" s="742">
        <f>Ukis!P42</f>
        <v>0</v>
      </c>
      <c r="Q48" s="1001">
        <f t="shared" si="5"/>
        <v>0</v>
      </c>
    </row>
    <row r="49" spans="1:17" s="3" customFormat="1" ht="16.5" customHeight="1">
      <c r="A49" s="31" t="s">
        <v>37</v>
      </c>
      <c r="B49" s="25" t="s">
        <v>589</v>
      </c>
      <c r="C49" s="727">
        <f>SUM(C50:C97)</f>
        <v>1786</v>
      </c>
      <c r="D49" s="728">
        <f aca="true" t="shared" si="11" ref="D49:P49">SUM(D50:D97)</f>
        <v>763.5</v>
      </c>
      <c r="E49" s="729">
        <f t="shared" si="11"/>
        <v>2514</v>
      </c>
      <c r="F49" s="729">
        <f t="shared" si="11"/>
        <v>4592</v>
      </c>
      <c r="G49" s="730">
        <f t="shared" si="11"/>
        <v>3916</v>
      </c>
      <c r="H49" s="731">
        <f t="shared" si="11"/>
        <v>11785.5</v>
      </c>
      <c r="I49" s="728">
        <f t="shared" si="11"/>
        <v>576</v>
      </c>
      <c r="J49" s="729">
        <f t="shared" si="11"/>
        <v>1604</v>
      </c>
      <c r="K49" s="729">
        <f t="shared" si="11"/>
        <v>4612</v>
      </c>
      <c r="L49" s="730">
        <f t="shared" si="11"/>
        <v>1071</v>
      </c>
      <c r="M49" s="731">
        <f t="shared" si="11"/>
        <v>7863</v>
      </c>
      <c r="N49" s="731">
        <f t="shared" si="11"/>
        <v>8134</v>
      </c>
      <c r="O49" s="731">
        <f t="shared" si="11"/>
        <v>8260</v>
      </c>
      <c r="P49" s="731">
        <f t="shared" si="11"/>
        <v>5111</v>
      </c>
      <c r="Q49" s="1000">
        <f t="shared" si="5"/>
        <v>41153.5</v>
      </c>
    </row>
    <row r="50" spans="1:17" s="3" customFormat="1" ht="18.75" customHeight="1">
      <c r="A50" s="28" t="s">
        <v>440</v>
      </c>
      <c r="B50" s="684" t="str">
        <f>Vandenruoša!B38</f>
        <v>Vandenviečių smulkios įrangos atnaujinimas</v>
      </c>
      <c r="C50" s="738">
        <f>Vandenruoša!J38</f>
        <v>0</v>
      </c>
      <c r="D50" s="739">
        <f>Vandenruoša!K38</f>
        <v>0</v>
      </c>
      <c r="E50" s="740">
        <f>Vandenruoša!L38</f>
        <v>58</v>
      </c>
      <c r="F50" s="740">
        <f>Vandenruoša!M38</f>
        <v>56</v>
      </c>
      <c r="G50" s="741">
        <f>Vandenruoša!N38</f>
        <v>16</v>
      </c>
      <c r="H50" s="742">
        <f>SUM(D50:G50)</f>
        <v>130</v>
      </c>
      <c r="I50" s="739">
        <f>Vandenruoša!P38</f>
        <v>0</v>
      </c>
      <c r="J50" s="740">
        <f>Vandenruoša!Q38</f>
        <v>61</v>
      </c>
      <c r="K50" s="740">
        <f>Vandenruoša!R38</f>
        <v>41</v>
      </c>
      <c r="L50" s="741">
        <f>Vandenruoša!S38</f>
        <v>16</v>
      </c>
      <c r="M50" s="742">
        <f aca="true" t="shared" si="12" ref="M50:M97">SUM(I50:L50)</f>
        <v>118</v>
      </c>
      <c r="N50" s="742">
        <f>Vandenruoša!U38</f>
        <v>102</v>
      </c>
      <c r="O50" s="742">
        <f>Vandenruoša!V38</f>
        <v>102</v>
      </c>
      <c r="P50" s="742">
        <f>Vandenruoša!W38</f>
        <v>302</v>
      </c>
      <c r="Q50" s="1001">
        <f t="shared" si="5"/>
        <v>754</v>
      </c>
    </row>
    <row r="51" spans="1:17" s="3" customFormat="1" ht="18.75" customHeight="1">
      <c r="A51" s="28" t="s">
        <v>441</v>
      </c>
      <c r="B51" s="780" t="str">
        <f>Vandenruoša!B39</f>
        <v>Vandenviečių statinių atnaujinimas </v>
      </c>
      <c r="C51" s="738">
        <f>Vandenruoša!J39</f>
        <v>45</v>
      </c>
      <c r="D51" s="739">
        <f>Vandenruoša!K39</f>
        <v>0</v>
      </c>
      <c r="E51" s="740">
        <f>Vandenruoša!L39</f>
        <v>40</v>
      </c>
      <c r="F51" s="740">
        <f>Vandenruoša!M39</f>
        <v>0</v>
      </c>
      <c r="G51" s="741">
        <f>Vandenruoša!N39</f>
        <v>1122</v>
      </c>
      <c r="H51" s="742">
        <f aca="true" t="shared" si="13" ref="H51:H97">SUM(D51:G51)</f>
        <v>1162</v>
      </c>
      <c r="I51" s="739">
        <f>Vandenruoša!P39</f>
        <v>0</v>
      </c>
      <c r="J51" s="740">
        <f>Vandenruoša!Q39</f>
        <v>0</v>
      </c>
      <c r="K51" s="740">
        <f>Vandenruoša!R39</f>
        <v>700</v>
      </c>
      <c r="L51" s="741">
        <f>Vandenruoša!S39</f>
        <v>0</v>
      </c>
      <c r="M51" s="742">
        <f t="shared" si="12"/>
        <v>700</v>
      </c>
      <c r="N51" s="742">
        <f>Vandenruoša!U39</f>
        <v>75</v>
      </c>
      <c r="O51" s="742">
        <f>Vandenruoša!V39</f>
        <v>20</v>
      </c>
      <c r="P51" s="742">
        <f>Vandenruoša!W39</f>
        <v>20</v>
      </c>
      <c r="Q51" s="1001">
        <f t="shared" si="5"/>
        <v>1977</v>
      </c>
    </row>
    <row r="52" spans="1:17" s="3" customFormat="1" ht="18.75" customHeight="1">
      <c r="A52" s="28" t="s">
        <v>442</v>
      </c>
      <c r="B52" s="782" t="str">
        <f>Vandenruoša!B40</f>
        <v>Vandenviečių pastatų atnaujinimas </v>
      </c>
      <c r="C52" s="738">
        <f>Vandenruoša!J40</f>
        <v>0</v>
      </c>
      <c r="D52" s="739">
        <f>Vandenruoša!K40</f>
        <v>0</v>
      </c>
      <c r="E52" s="740">
        <f>Vandenruoša!L40</f>
        <v>0</v>
      </c>
      <c r="F52" s="740">
        <f>Vandenruoša!M40</f>
        <v>0</v>
      </c>
      <c r="G52" s="741">
        <f>Vandenruoša!N40</f>
        <v>50</v>
      </c>
      <c r="H52" s="742">
        <f t="shared" si="13"/>
        <v>50</v>
      </c>
      <c r="I52" s="739">
        <f>Vandenruoša!P40</f>
        <v>0</v>
      </c>
      <c r="J52" s="740">
        <f>Vandenruoša!Q40</f>
        <v>0</v>
      </c>
      <c r="K52" s="740">
        <f>Vandenruoša!R40</f>
        <v>0</v>
      </c>
      <c r="L52" s="741">
        <f>Vandenruoša!S40</f>
        <v>0</v>
      </c>
      <c r="M52" s="742">
        <f t="shared" si="12"/>
        <v>0</v>
      </c>
      <c r="N52" s="742">
        <f>Vandenruoša!U40</f>
        <v>500</v>
      </c>
      <c r="O52" s="742">
        <f>Vandenruoša!V40</f>
        <v>500</v>
      </c>
      <c r="P52" s="742">
        <f>Vandenruoša!W40</f>
        <v>0</v>
      </c>
      <c r="Q52" s="1001">
        <f t="shared" si="5"/>
        <v>1050</v>
      </c>
    </row>
    <row r="53" spans="1:17" s="3" customFormat="1" ht="18.75" customHeight="1">
      <c r="A53" s="28" t="s">
        <v>443</v>
      </c>
      <c r="B53" s="782" t="str">
        <f>Vandenruoša!B41</f>
        <v>Vandenviečių įrengimų atnaujinimas</v>
      </c>
      <c r="C53" s="738">
        <f>Vandenruoša!J41</f>
        <v>0</v>
      </c>
      <c r="D53" s="739">
        <f>Vandenruoša!K41</f>
        <v>0</v>
      </c>
      <c r="E53" s="740">
        <f>Vandenruoša!L41</f>
        <v>0</v>
      </c>
      <c r="F53" s="740">
        <f>Vandenruoša!M41</f>
        <v>115</v>
      </c>
      <c r="G53" s="741">
        <f>Vandenruoša!N41</f>
        <v>0</v>
      </c>
      <c r="H53" s="742">
        <f t="shared" si="13"/>
        <v>115</v>
      </c>
      <c r="I53" s="739">
        <f>Vandenruoša!P41</f>
        <v>0</v>
      </c>
      <c r="J53" s="740">
        <f>Vandenruoša!Q41</f>
        <v>0</v>
      </c>
      <c r="K53" s="740">
        <f>Vandenruoša!R41</f>
        <v>80</v>
      </c>
      <c r="L53" s="741">
        <f>Vandenruoša!S41</f>
        <v>0</v>
      </c>
      <c r="M53" s="742">
        <f t="shared" si="12"/>
        <v>80</v>
      </c>
      <c r="N53" s="742">
        <f>Vandenruoša!U41</f>
        <v>550</v>
      </c>
      <c r="O53" s="742">
        <f>Vandenruoša!V41</f>
        <v>50</v>
      </c>
      <c r="P53" s="742">
        <f>Vandenruoša!W41</f>
        <v>50</v>
      </c>
      <c r="Q53" s="1001">
        <f t="shared" si="5"/>
        <v>845</v>
      </c>
    </row>
    <row r="54" spans="1:17" s="3" customFormat="1" ht="18.75" customHeight="1">
      <c r="A54" s="28" t="s">
        <v>444</v>
      </c>
      <c r="B54" s="782" t="str">
        <f>Vandenruoša!B42</f>
        <v>Vandenviečių automatizavimo atnaujinimas</v>
      </c>
      <c r="C54" s="738">
        <f>Vandenruoša!J42</f>
        <v>0</v>
      </c>
      <c r="D54" s="739">
        <f>Vandenruoša!K42</f>
        <v>0</v>
      </c>
      <c r="E54" s="740">
        <f>Vandenruoša!L42</f>
        <v>0</v>
      </c>
      <c r="F54" s="740">
        <f>Vandenruoša!M42</f>
        <v>0</v>
      </c>
      <c r="G54" s="741">
        <f>Vandenruoša!N42</f>
        <v>0</v>
      </c>
      <c r="H54" s="742">
        <f t="shared" si="13"/>
        <v>0</v>
      </c>
      <c r="I54" s="739">
        <f>Vandenruoša!P42</f>
        <v>0</v>
      </c>
      <c r="J54" s="740">
        <f>Vandenruoša!Q42</f>
        <v>0</v>
      </c>
      <c r="K54" s="740">
        <f>Vandenruoša!R42</f>
        <v>0</v>
      </c>
      <c r="L54" s="741">
        <f>Vandenruoša!S42</f>
        <v>0</v>
      </c>
      <c r="M54" s="742">
        <f t="shared" si="12"/>
        <v>0</v>
      </c>
      <c r="N54" s="742">
        <f>Vandenruoša!U42</f>
        <v>20</v>
      </c>
      <c r="O54" s="742">
        <f>Vandenruoša!V42</f>
        <v>0</v>
      </c>
      <c r="P54" s="742">
        <f>Vandenruoša!W42</f>
        <v>150</v>
      </c>
      <c r="Q54" s="1001">
        <f t="shared" si="5"/>
        <v>170</v>
      </c>
    </row>
    <row r="55" spans="1:17" s="3" customFormat="1" ht="18.75" customHeight="1">
      <c r="A55" s="28" t="s">
        <v>445</v>
      </c>
      <c r="B55" s="782" t="str">
        <f>Vandenruoša!B43</f>
        <v>Vandenviečių siurblių atnaujinimas</v>
      </c>
      <c r="C55" s="738">
        <f>Vandenruoša!J43</f>
        <v>0</v>
      </c>
      <c r="D55" s="739">
        <f>Vandenruoša!K43</f>
        <v>0</v>
      </c>
      <c r="E55" s="740">
        <f>Vandenruoša!L43</f>
        <v>0</v>
      </c>
      <c r="F55" s="740">
        <f>Vandenruoša!M43</f>
        <v>155</v>
      </c>
      <c r="G55" s="741">
        <f>Vandenruoša!N43</f>
        <v>0</v>
      </c>
      <c r="H55" s="742">
        <f t="shared" si="13"/>
        <v>155</v>
      </c>
      <c r="I55" s="739">
        <f>Vandenruoša!P43</f>
        <v>0</v>
      </c>
      <c r="J55" s="740">
        <f>Vandenruoša!Q43</f>
        <v>0</v>
      </c>
      <c r="K55" s="740">
        <f>Vandenruoša!R43</f>
        <v>115</v>
      </c>
      <c r="L55" s="741">
        <f>Vandenruoša!S43</f>
        <v>0</v>
      </c>
      <c r="M55" s="742">
        <f t="shared" si="12"/>
        <v>115</v>
      </c>
      <c r="N55" s="742">
        <f>Vandenruoša!U43</f>
        <v>60</v>
      </c>
      <c r="O55" s="742">
        <f>Vandenruoša!V43</f>
        <v>180</v>
      </c>
      <c r="P55" s="742">
        <f>Vandenruoša!W43</f>
        <v>20</v>
      </c>
      <c r="Q55" s="1001">
        <f t="shared" si="5"/>
        <v>530</v>
      </c>
    </row>
    <row r="56" spans="1:17" s="3" customFormat="1" ht="18.75" customHeight="1">
      <c r="A56" s="28" t="s">
        <v>446</v>
      </c>
      <c r="B56" s="782" t="str">
        <f>Vandenruoša!B44</f>
        <v>Geriamojo vandens laboratorinė įranga</v>
      </c>
      <c r="C56" s="738">
        <f>Vandenruoša!J44</f>
        <v>0</v>
      </c>
      <c r="D56" s="739">
        <f>Vandenruoša!K44</f>
        <v>0</v>
      </c>
      <c r="E56" s="740">
        <f>Vandenruoša!L44</f>
        <v>0</v>
      </c>
      <c r="F56" s="740">
        <f>Vandenruoša!M44</f>
        <v>280</v>
      </c>
      <c r="G56" s="741">
        <f>Vandenruoša!N44</f>
        <v>0</v>
      </c>
      <c r="H56" s="742">
        <f t="shared" si="13"/>
        <v>280</v>
      </c>
      <c r="I56" s="739">
        <f>Vandenruoša!P44</f>
        <v>0</v>
      </c>
      <c r="J56" s="740">
        <f>Vandenruoša!Q44</f>
        <v>0</v>
      </c>
      <c r="K56" s="740">
        <f>Vandenruoša!R44</f>
        <v>20</v>
      </c>
      <c r="L56" s="741">
        <f>Vandenruoša!S44</f>
        <v>0</v>
      </c>
      <c r="M56" s="742">
        <f t="shared" si="12"/>
        <v>20</v>
      </c>
      <c r="N56" s="742">
        <f>Vandenruoša!U44</f>
        <v>20</v>
      </c>
      <c r="O56" s="742">
        <f>Vandenruoša!V44</f>
        <v>36</v>
      </c>
      <c r="P56" s="742">
        <f>Vandenruoša!W44</f>
        <v>22</v>
      </c>
      <c r="Q56" s="1001">
        <f t="shared" si="5"/>
        <v>378</v>
      </c>
    </row>
    <row r="57" spans="1:17" s="3" customFormat="1" ht="26.25" customHeight="1">
      <c r="A57" s="28" t="s">
        <v>447</v>
      </c>
      <c r="B57" s="782" t="str">
        <f>Vandenruoša!B45</f>
        <v>3-osios vandenvietės sanitarinės zonos nustatymo projektas ir SAZ plano parengimas</v>
      </c>
      <c r="C57" s="738">
        <f>Vandenruoša!J45</f>
        <v>40</v>
      </c>
      <c r="D57" s="739">
        <f>Vandenruoša!K45</f>
        <v>0</v>
      </c>
      <c r="E57" s="740">
        <f>Vandenruoša!L45</f>
        <v>0</v>
      </c>
      <c r="F57" s="740">
        <f>Vandenruoša!M45</f>
        <v>0</v>
      </c>
      <c r="G57" s="741">
        <f>Vandenruoša!N45</f>
        <v>18</v>
      </c>
      <c r="H57" s="742">
        <f t="shared" si="13"/>
        <v>18</v>
      </c>
      <c r="I57" s="739">
        <f>Vandenruoša!P45</f>
        <v>0</v>
      </c>
      <c r="J57" s="740">
        <f>Vandenruoša!Q45</f>
        <v>0</v>
      </c>
      <c r="K57" s="740">
        <f>Vandenruoša!R45</f>
        <v>0</v>
      </c>
      <c r="L57" s="741">
        <f>Vandenruoša!S45</f>
        <v>0</v>
      </c>
      <c r="M57" s="742">
        <f t="shared" si="12"/>
        <v>0</v>
      </c>
      <c r="N57" s="742">
        <f>Vandenruoša!U45</f>
        <v>0</v>
      </c>
      <c r="O57" s="742">
        <f>Vandenruoša!V45</f>
        <v>0</v>
      </c>
      <c r="P57" s="742">
        <f>Vandenruoša!W45</f>
        <v>0</v>
      </c>
      <c r="Q57" s="1001">
        <f t="shared" si="5"/>
        <v>18</v>
      </c>
    </row>
    <row r="58" spans="1:17" s="3" customFormat="1" ht="38.25" customHeight="1">
      <c r="A58" s="28" t="s">
        <v>448</v>
      </c>
      <c r="B58" s="782" t="str">
        <f>Vandenruoša!B46</f>
        <v>3-ios vandenvietės 2-jo kėlimo stoties galingumų mažinimo studija, techninis projektas, siurblinės rekonstrukcija</v>
      </c>
      <c r="C58" s="738">
        <f>Vandenruoša!J46</f>
        <v>1653</v>
      </c>
      <c r="D58" s="739">
        <f>Vandenruoša!K46</f>
        <v>0</v>
      </c>
      <c r="E58" s="740">
        <f>Vandenruoša!L46</f>
        <v>0</v>
      </c>
      <c r="F58" s="740">
        <f>Vandenruoša!M46</f>
        <v>1222</v>
      </c>
      <c r="G58" s="741">
        <f>Vandenruoša!N46</f>
        <v>0</v>
      </c>
      <c r="H58" s="742">
        <f t="shared" si="13"/>
        <v>1222</v>
      </c>
      <c r="I58" s="739">
        <f>Vandenruoša!P46</f>
        <v>0</v>
      </c>
      <c r="J58" s="740">
        <f>Vandenruoša!Q46</f>
        <v>0</v>
      </c>
      <c r="K58" s="740">
        <f>Vandenruoša!R46</f>
        <v>0</v>
      </c>
      <c r="L58" s="741">
        <f>Vandenruoša!S46</f>
        <v>0</v>
      </c>
      <c r="M58" s="742">
        <f t="shared" si="12"/>
        <v>0</v>
      </c>
      <c r="N58" s="742">
        <f>Vandenruoša!U46</f>
        <v>0</v>
      </c>
      <c r="O58" s="742">
        <f>Vandenruoša!V46</f>
        <v>0</v>
      </c>
      <c r="P58" s="742">
        <f>Vandenruoša!W46</f>
        <v>0</v>
      </c>
      <c r="Q58" s="1001">
        <f t="shared" si="5"/>
        <v>1222</v>
      </c>
    </row>
    <row r="59" spans="1:17" s="3" customFormat="1" ht="28.5" customHeight="1">
      <c r="A59" s="28" t="s">
        <v>449</v>
      </c>
      <c r="B59" s="685" t="str">
        <f>Vandenruoša!B47</f>
        <v>3-iosios vandenvietės geriamojo vandens rezervuaro Nr.4 remonto projektas ir darbai</v>
      </c>
      <c r="C59" s="738">
        <f>Vandenruoša!J47</f>
        <v>44</v>
      </c>
      <c r="D59" s="739">
        <f>Vandenruoša!K47</f>
        <v>0</v>
      </c>
      <c r="E59" s="740">
        <f>Vandenruoša!L47</f>
        <v>0</v>
      </c>
      <c r="F59" s="740">
        <f>Vandenruoša!M47</f>
        <v>0</v>
      </c>
      <c r="G59" s="741">
        <f>Vandenruoša!N47</f>
        <v>0</v>
      </c>
      <c r="H59" s="742">
        <f t="shared" si="13"/>
        <v>0</v>
      </c>
      <c r="I59" s="739">
        <f>Vandenruoša!P47</f>
        <v>0</v>
      </c>
      <c r="J59" s="740">
        <f>Vandenruoša!Q47</f>
        <v>0</v>
      </c>
      <c r="K59" s="740">
        <f>Vandenruoša!R47</f>
        <v>0</v>
      </c>
      <c r="L59" s="741">
        <f>Vandenruoša!S47</f>
        <v>0</v>
      </c>
      <c r="M59" s="742">
        <f t="shared" si="12"/>
        <v>0</v>
      </c>
      <c r="N59" s="742">
        <f>Vandenruoša!U47</f>
        <v>1450</v>
      </c>
      <c r="O59" s="742">
        <f>Vandenruoša!V47</f>
        <v>1650</v>
      </c>
      <c r="P59" s="742">
        <f>Vandenruoša!W47</f>
        <v>0</v>
      </c>
      <c r="Q59" s="1001">
        <f t="shared" si="5"/>
        <v>3100</v>
      </c>
    </row>
    <row r="60" spans="1:17" s="3" customFormat="1" ht="26.25" customHeight="1">
      <c r="A60" s="28" t="s">
        <v>450</v>
      </c>
      <c r="B60" s="685" t="str">
        <f>Vandenruoša!B48</f>
        <v>Magistralinio drenų vandens surinkimo vamzdyno remontas</v>
      </c>
      <c r="C60" s="738">
        <f>Vandenruoša!J48</f>
        <v>0</v>
      </c>
      <c r="D60" s="739">
        <f>Vandenruoša!K48</f>
        <v>0</v>
      </c>
      <c r="E60" s="740">
        <f>Vandenruoša!L48</f>
        <v>0</v>
      </c>
      <c r="F60" s="740">
        <f>Vandenruoša!M48</f>
        <v>200</v>
      </c>
      <c r="G60" s="741">
        <f>Vandenruoša!N48</f>
        <v>210</v>
      </c>
      <c r="H60" s="742">
        <f t="shared" si="13"/>
        <v>410</v>
      </c>
      <c r="I60" s="739">
        <f>Vandenruoša!P48</f>
        <v>0</v>
      </c>
      <c r="J60" s="740">
        <f>Vandenruoša!Q48</f>
        <v>0</v>
      </c>
      <c r="K60" s="740">
        <f>Vandenruoša!R48</f>
        <v>0</v>
      </c>
      <c r="L60" s="741">
        <f>Vandenruoša!S48</f>
        <v>0</v>
      </c>
      <c r="M60" s="742">
        <f t="shared" si="12"/>
        <v>0</v>
      </c>
      <c r="N60" s="742">
        <f>Vandenruoša!U48</f>
        <v>0</v>
      </c>
      <c r="O60" s="742">
        <f>Vandenruoša!V48</f>
        <v>0</v>
      </c>
      <c r="P60" s="742">
        <f>Vandenruoša!W48</f>
        <v>0</v>
      </c>
      <c r="Q60" s="1001">
        <f t="shared" si="5"/>
        <v>410</v>
      </c>
    </row>
    <row r="61" spans="1:17" s="3" customFormat="1" ht="28.5" customHeight="1">
      <c r="A61" s="28" t="s">
        <v>451</v>
      </c>
      <c r="B61" s="685" t="str">
        <f>Vandenruoša!B49</f>
        <v>Filtrų pastato paprastasis remontas pakeičiant technologinę įrangą</v>
      </c>
      <c r="C61" s="738">
        <f>Vandenruoša!J49</f>
        <v>0</v>
      </c>
      <c r="D61" s="739">
        <f>Vandenruoša!K49</f>
        <v>0</v>
      </c>
      <c r="E61" s="740">
        <f>Vandenruoša!L49</f>
        <v>0</v>
      </c>
      <c r="F61" s="740">
        <f>Vandenruoša!M49</f>
        <v>0</v>
      </c>
      <c r="G61" s="741">
        <f>Vandenruoša!N49</f>
        <v>1100</v>
      </c>
      <c r="H61" s="742">
        <f t="shared" si="13"/>
        <v>1100</v>
      </c>
      <c r="I61" s="739">
        <f>Vandenruoša!P49</f>
        <v>0</v>
      </c>
      <c r="J61" s="740">
        <f>Vandenruoša!Q49</f>
        <v>0</v>
      </c>
      <c r="K61" s="740">
        <f>Vandenruoša!R49</f>
        <v>1100</v>
      </c>
      <c r="L61" s="741">
        <f>Vandenruoša!S49</f>
        <v>0</v>
      </c>
      <c r="M61" s="742">
        <f t="shared" si="12"/>
        <v>1100</v>
      </c>
      <c r="N61" s="742">
        <f>Vandenruoša!U49</f>
        <v>0</v>
      </c>
      <c r="O61" s="742">
        <f>Vandenruoša!V49</f>
        <v>0</v>
      </c>
      <c r="P61" s="742">
        <f>Vandenruoša!W49</f>
        <v>0</v>
      </c>
      <c r="Q61" s="1001">
        <f t="shared" si="5"/>
        <v>2200</v>
      </c>
    </row>
    <row r="62" spans="1:17" s="3" customFormat="1" ht="30" customHeight="1">
      <c r="A62" s="28" t="s">
        <v>452</v>
      </c>
      <c r="B62" s="685" t="str">
        <f>Vandenruoša!B50</f>
        <v>Geriamojo vandens  2-o kėlimo pasiurbimo linijų keitimas</v>
      </c>
      <c r="C62" s="738">
        <f>Vandenruoša!J50</f>
        <v>0</v>
      </c>
      <c r="D62" s="739">
        <f>Vandenruoša!K50</f>
        <v>0</v>
      </c>
      <c r="E62" s="740">
        <f>Vandenruoša!L50</f>
        <v>0</v>
      </c>
      <c r="F62" s="740">
        <f>Vandenruoša!M50</f>
        <v>0</v>
      </c>
      <c r="G62" s="741">
        <f>Vandenruoša!N50</f>
        <v>0</v>
      </c>
      <c r="H62" s="742">
        <f t="shared" si="13"/>
        <v>0</v>
      </c>
      <c r="I62" s="739">
        <f>Vandenruoša!P50</f>
        <v>0</v>
      </c>
      <c r="J62" s="740">
        <f>Vandenruoša!Q50</f>
        <v>0</v>
      </c>
      <c r="K62" s="740">
        <f>Vandenruoša!R50</f>
        <v>0</v>
      </c>
      <c r="L62" s="741">
        <f>Vandenruoša!S50</f>
        <v>0</v>
      </c>
      <c r="M62" s="742">
        <f t="shared" si="12"/>
        <v>0</v>
      </c>
      <c r="N62" s="742">
        <f>Vandenruoša!U50</f>
        <v>0</v>
      </c>
      <c r="O62" s="742">
        <f>Vandenruoša!V50</f>
        <v>1000</v>
      </c>
      <c r="P62" s="742">
        <f>Vandenruoša!W50</f>
        <v>0</v>
      </c>
      <c r="Q62" s="1001">
        <f t="shared" si="5"/>
        <v>1000</v>
      </c>
    </row>
    <row r="63" spans="1:17" s="3" customFormat="1" ht="18.75" customHeight="1">
      <c r="A63" s="28" t="s">
        <v>453</v>
      </c>
      <c r="B63" s="684" t="str">
        <f>Tinklai!B22</f>
        <v>Vandentiekio tinkų atstatymas</v>
      </c>
      <c r="C63" s="738">
        <f>Tinklai!J22</f>
        <v>0</v>
      </c>
      <c r="D63" s="739">
        <f>Tinklai!K22</f>
        <v>0</v>
      </c>
      <c r="E63" s="740">
        <f>Tinklai!L22</f>
        <v>0</v>
      </c>
      <c r="F63" s="740">
        <f>Tinklai!M22</f>
        <v>0</v>
      </c>
      <c r="G63" s="741">
        <f>Tinklai!N22</f>
        <v>0</v>
      </c>
      <c r="H63" s="742">
        <f t="shared" si="13"/>
        <v>0</v>
      </c>
      <c r="I63" s="739">
        <f>Tinklai!P22</f>
        <v>0</v>
      </c>
      <c r="J63" s="740">
        <f>Tinklai!Q22</f>
        <v>100</v>
      </c>
      <c r="K63" s="740">
        <f>Tinklai!R22</f>
        <v>100</v>
      </c>
      <c r="L63" s="741">
        <f>Tinklai!S22</f>
        <v>100</v>
      </c>
      <c r="M63" s="742">
        <f t="shared" si="12"/>
        <v>300</v>
      </c>
      <c r="N63" s="742">
        <f>Tinklai!U22</f>
        <v>810</v>
      </c>
      <c r="O63" s="742">
        <f>Tinklai!V22</f>
        <v>500</v>
      </c>
      <c r="P63" s="742">
        <f>Tinklai!W22</f>
        <v>400</v>
      </c>
      <c r="Q63" s="1001">
        <f t="shared" si="5"/>
        <v>2010</v>
      </c>
    </row>
    <row r="64" spans="1:17" s="3" customFormat="1" ht="18.75" customHeight="1">
      <c r="A64" s="28" t="s">
        <v>454</v>
      </c>
      <c r="B64" s="684" t="str">
        <f>Tinklai!B23</f>
        <v>Nuotekų tinklų atstatymas</v>
      </c>
      <c r="C64" s="738">
        <f>Tinklai!J23</f>
        <v>4</v>
      </c>
      <c r="D64" s="739">
        <f>Tinklai!K23</f>
        <v>0</v>
      </c>
      <c r="E64" s="740">
        <f>Tinklai!L23</f>
        <v>4</v>
      </c>
      <c r="F64" s="740">
        <f>Tinklai!M23</f>
        <v>30</v>
      </c>
      <c r="G64" s="741">
        <f>Tinklai!N23</f>
        <v>142</v>
      </c>
      <c r="H64" s="742">
        <f t="shared" si="13"/>
        <v>176</v>
      </c>
      <c r="I64" s="739">
        <f>Tinklai!P23</f>
        <v>100</v>
      </c>
      <c r="J64" s="740">
        <f>Tinklai!Q23</f>
        <v>200</v>
      </c>
      <c r="K64" s="740">
        <f>Tinklai!R23</f>
        <v>300</v>
      </c>
      <c r="L64" s="741">
        <f>Tinklai!S23</f>
        <v>230</v>
      </c>
      <c r="M64" s="742">
        <f t="shared" si="12"/>
        <v>830</v>
      </c>
      <c r="N64" s="742">
        <f>Tinklai!U23</f>
        <v>380</v>
      </c>
      <c r="O64" s="742">
        <f>Tinklai!V23</f>
        <v>610</v>
      </c>
      <c r="P64" s="742">
        <f>Tinklai!W23</f>
        <v>600</v>
      </c>
      <c r="Q64" s="1001">
        <f t="shared" si="5"/>
        <v>2596</v>
      </c>
    </row>
    <row r="65" spans="1:17" s="3" customFormat="1" ht="18.75" customHeight="1">
      <c r="A65" s="28" t="s">
        <v>455</v>
      </c>
      <c r="B65" s="684" t="str">
        <f>Tinklai!B24</f>
        <v>Sklendžių ir hidrantų atnaujinimas vandentiekio tinkluose</v>
      </c>
      <c r="C65" s="738">
        <f>Tinklai!J24</f>
        <v>0</v>
      </c>
      <c r="D65" s="739">
        <f>Tinklai!K24</f>
        <v>15</v>
      </c>
      <c r="E65" s="740">
        <f>Tinklai!L24</f>
        <v>35</v>
      </c>
      <c r="F65" s="740">
        <f>Tinklai!M24</f>
        <v>35</v>
      </c>
      <c r="G65" s="741">
        <f>Tinklai!N24</f>
        <v>15</v>
      </c>
      <c r="H65" s="742">
        <f t="shared" si="13"/>
        <v>100</v>
      </c>
      <c r="I65" s="739">
        <f>Tinklai!P24</f>
        <v>15</v>
      </c>
      <c r="J65" s="740">
        <f>Tinklai!Q24</f>
        <v>35</v>
      </c>
      <c r="K65" s="740">
        <f>Tinklai!R24</f>
        <v>35</v>
      </c>
      <c r="L65" s="741">
        <f>Tinklai!S24</f>
        <v>15</v>
      </c>
      <c r="M65" s="742">
        <f t="shared" si="12"/>
        <v>100</v>
      </c>
      <c r="N65" s="742">
        <f>Tinklai!U24</f>
        <v>150</v>
      </c>
      <c r="O65" s="742">
        <f>Tinklai!V24</f>
        <v>150</v>
      </c>
      <c r="P65" s="742">
        <f>Tinklai!W24</f>
        <v>150</v>
      </c>
      <c r="Q65" s="1001">
        <f t="shared" si="5"/>
        <v>650</v>
      </c>
    </row>
    <row r="66" spans="1:17" ht="18.75" customHeight="1">
      <c r="A66" s="28" t="s">
        <v>456</v>
      </c>
      <c r="B66" s="684" t="str">
        <f>Tinklai!B25</f>
        <v>Smulkios įrangos atnaujinimas vandentiekio tinkluose</v>
      </c>
      <c r="C66" s="738">
        <f>Tinklai!J25</f>
        <v>0</v>
      </c>
      <c r="D66" s="739">
        <f>Tinklai!K25</f>
        <v>0</v>
      </c>
      <c r="E66" s="740">
        <f>Tinklai!L25</f>
        <v>14</v>
      </c>
      <c r="F66" s="740">
        <f>Tinklai!M25</f>
        <v>6</v>
      </c>
      <c r="G66" s="741">
        <f>Tinklai!N25</f>
        <v>10</v>
      </c>
      <c r="H66" s="742">
        <f t="shared" si="13"/>
        <v>30</v>
      </c>
      <c r="I66" s="739">
        <f>Tinklai!P25</f>
        <v>0</v>
      </c>
      <c r="J66" s="740">
        <f>Tinklai!Q25</f>
        <v>10</v>
      </c>
      <c r="K66" s="740">
        <f>Tinklai!R25</f>
        <v>0</v>
      </c>
      <c r="L66" s="741">
        <f>Tinklai!S25</f>
        <v>0</v>
      </c>
      <c r="M66" s="742">
        <f t="shared" si="12"/>
        <v>10</v>
      </c>
      <c r="N66" s="742">
        <f>Tinklai!U25</f>
        <v>10</v>
      </c>
      <c r="O66" s="742">
        <f>Tinklai!V25</f>
        <v>10</v>
      </c>
      <c r="P66" s="742">
        <f>Tinklai!W25</f>
        <v>10</v>
      </c>
      <c r="Q66" s="1001">
        <f t="shared" si="5"/>
        <v>70</v>
      </c>
    </row>
    <row r="67" spans="1:17" ht="18.75" customHeight="1">
      <c r="A67" s="28" t="s">
        <v>457</v>
      </c>
      <c r="B67" s="684" t="str">
        <f>Tinklai!B26</f>
        <v>Smulkios įrangos atnaujinimas nuotekų tinkluose</v>
      </c>
      <c r="C67" s="738">
        <f>Tinklai!J26</f>
        <v>0</v>
      </c>
      <c r="D67" s="739">
        <f>Tinklai!K26</f>
        <v>1</v>
      </c>
      <c r="E67" s="740">
        <f>Tinklai!L26</f>
        <v>11</v>
      </c>
      <c r="F67" s="740">
        <f>Tinklai!M26</f>
        <v>5</v>
      </c>
      <c r="G67" s="741">
        <f>Tinklai!N26</f>
        <v>3</v>
      </c>
      <c r="H67" s="742">
        <f t="shared" si="13"/>
        <v>20</v>
      </c>
      <c r="I67" s="739">
        <f>Tinklai!P26</f>
        <v>0</v>
      </c>
      <c r="J67" s="740">
        <f>Tinklai!Q26</f>
        <v>0</v>
      </c>
      <c r="K67" s="740">
        <f>Tinklai!R26</f>
        <v>0</v>
      </c>
      <c r="L67" s="741">
        <f>Tinklai!S26</f>
        <v>15</v>
      </c>
      <c r="M67" s="742">
        <f t="shared" si="12"/>
        <v>15</v>
      </c>
      <c r="N67" s="742">
        <f>Tinklai!U26</f>
        <v>10</v>
      </c>
      <c r="O67" s="742">
        <f>Tinklai!V26</f>
        <v>10</v>
      </c>
      <c r="P67" s="742">
        <f>Tinklai!W26</f>
        <v>10</v>
      </c>
      <c r="Q67" s="1001">
        <f t="shared" si="5"/>
        <v>65</v>
      </c>
    </row>
    <row r="68" spans="1:17" ht="18.75" customHeight="1">
      <c r="A68" s="28" t="s">
        <v>458</v>
      </c>
      <c r="B68" s="771" t="str">
        <f>Nuotekos!B22</f>
        <v>NS Nr.6 technologines ir elektrinės  dalies rekonstrukcija</v>
      </c>
      <c r="C68" s="738">
        <f>Nuotekos!C22</f>
        <v>0</v>
      </c>
      <c r="D68" s="739">
        <f>Nuotekos!D22</f>
        <v>500</v>
      </c>
      <c r="E68" s="740">
        <f>Nuotekos!E22</f>
        <v>1000</v>
      </c>
      <c r="F68" s="740">
        <f>Nuotekos!F22</f>
        <v>1500</v>
      </c>
      <c r="G68" s="741">
        <f>Nuotekos!G22</f>
        <v>500</v>
      </c>
      <c r="H68" s="742">
        <f t="shared" si="13"/>
        <v>3500</v>
      </c>
      <c r="I68" s="739">
        <f>Nuotekos!I22</f>
        <v>0</v>
      </c>
      <c r="J68" s="740">
        <f>Nuotekos!J22</f>
        <v>0</v>
      </c>
      <c r="K68" s="740">
        <f>Nuotekos!K22</f>
        <v>0</v>
      </c>
      <c r="L68" s="741">
        <f>Nuotekos!L22</f>
        <v>0</v>
      </c>
      <c r="M68" s="742">
        <f t="shared" si="12"/>
        <v>0</v>
      </c>
      <c r="N68" s="742">
        <f>Nuotekos!N22</f>
        <v>0</v>
      </c>
      <c r="O68" s="742">
        <f>Nuotekos!O22</f>
        <v>0</v>
      </c>
      <c r="P68" s="742">
        <f>Nuotekos!P22</f>
        <v>0</v>
      </c>
      <c r="Q68" s="1001">
        <f t="shared" si="5"/>
        <v>3500</v>
      </c>
    </row>
    <row r="69" spans="1:17" ht="18.75" customHeight="1">
      <c r="A69" s="28" t="s">
        <v>459</v>
      </c>
      <c r="B69" s="771" t="str">
        <f>Nuotekos!B23</f>
        <v>Nuotekų siurblinių statinių atnaujinimas</v>
      </c>
      <c r="C69" s="738">
        <f>Nuotekos!C23</f>
        <v>0</v>
      </c>
      <c r="D69" s="739">
        <f>Nuotekos!D23</f>
        <v>0</v>
      </c>
      <c r="E69" s="740">
        <f>Nuotekos!E23</f>
        <v>30</v>
      </c>
      <c r="F69" s="740">
        <f>Nuotekos!F23</f>
        <v>40</v>
      </c>
      <c r="G69" s="741">
        <f>Nuotekos!G23</f>
        <v>30</v>
      </c>
      <c r="H69" s="742">
        <f t="shared" si="13"/>
        <v>100</v>
      </c>
      <c r="I69" s="739">
        <f>Nuotekos!I23</f>
        <v>0</v>
      </c>
      <c r="J69" s="740">
        <f>Nuotekos!J23</f>
        <v>30</v>
      </c>
      <c r="K69" s="740">
        <f>Nuotekos!K23</f>
        <v>40</v>
      </c>
      <c r="L69" s="741">
        <f>Nuotekos!L23</f>
        <v>40</v>
      </c>
      <c r="M69" s="742">
        <f t="shared" si="12"/>
        <v>110</v>
      </c>
      <c r="N69" s="742">
        <f>Nuotekos!N23</f>
        <v>100</v>
      </c>
      <c r="O69" s="742">
        <f>Nuotekos!O23</f>
        <v>100</v>
      </c>
      <c r="P69" s="742">
        <f>Nuotekos!P23</f>
        <v>100</v>
      </c>
      <c r="Q69" s="1001">
        <f t="shared" si="5"/>
        <v>510</v>
      </c>
    </row>
    <row r="70" spans="1:17" ht="27" customHeight="1">
      <c r="A70" s="28" t="s">
        <v>460</v>
      </c>
      <c r="B70" s="783" t="str">
        <f>Nuotekos!B24</f>
        <v>Sklendžių ir uždaromosios armatūros atnaujinimas nuotekų siurblinėse</v>
      </c>
      <c r="C70" s="738">
        <f>Nuotekos!C24</f>
        <v>0</v>
      </c>
      <c r="D70" s="739">
        <f>Nuotekos!D24</f>
        <v>5</v>
      </c>
      <c r="E70" s="740">
        <f>Nuotekos!E24</f>
        <v>10</v>
      </c>
      <c r="F70" s="740">
        <f>Nuotekos!F24</f>
        <v>5</v>
      </c>
      <c r="G70" s="741">
        <f>Nuotekos!G24</f>
        <v>340</v>
      </c>
      <c r="H70" s="742">
        <f t="shared" si="13"/>
        <v>360</v>
      </c>
      <c r="I70" s="739">
        <f>Nuotekos!I24</f>
        <v>5</v>
      </c>
      <c r="J70" s="740">
        <f>Nuotekos!J24</f>
        <v>5</v>
      </c>
      <c r="K70" s="740">
        <f>Nuotekos!K24</f>
        <v>5</v>
      </c>
      <c r="L70" s="741">
        <f>Nuotekos!L24</f>
        <v>5</v>
      </c>
      <c r="M70" s="742">
        <f t="shared" si="12"/>
        <v>20</v>
      </c>
      <c r="N70" s="742">
        <f>Nuotekos!N24</f>
        <v>40</v>
      </c>
      <c r="O70" s="742">
        <f>Nuotekos!O24</f>
        <v>40</v>
      </c>
      <c r="P70" s="742">
        <f>Nuotekos!P24</f>
        <v>40</v>
      </c>
      <c r="Q70" s="1001">
        <f t="shared" si="5"/>
        <v>500</v>
      </c>
    </row>
    <row r="71" spans="1:17" ht="18.75" customHeight="1">
      <c r="A71" s="28" t="s">
        <v>461</v>
      </c>
      <c r="B71" s="771" t="str">
        <f>Nuotekos!B25</f>
        <v>Siurblių atnaujinimas nuotekų siurblinėse</v>
      </c>
      <c r="C71" s="738">
        <f>Nuotekos!C25</f>
        <v>0</v>
      </c>
      <c r="D71" s="739">
        <f>Nuotekos!D25</f>
        <v>40</v>
      </c>
      <c r="E71" s="740">
        <f>Nuotekos!E25</f>
        <v>150</v>
      </c>
      <c r="F71" s="740">
        <f>Nuotekos!F25</f>
        <v>0</v>
      </c>
      <c r="G71" s="741">
        <f>Nuotekos!G25</f>
        <v>50</v>
      </c>
      <c r="H71" s="742">
        <f t="shared" si="13"/>
        <v>240</v>
      </c>
      <c r="I71" s="739">
        <f>Nuotekos!I25</f>
        <v>0</v>
      </c>
      <c r="J71" s="740">
        <f>Nuotekos!J25</f>
        <v>50</v>
      </c>
      <c r="K71" s="740">
        <f>Nuotekos!K25</f>
        <v>0</v>
      </c>
      <c r="L71" s="741">
        <f>Nuotekos!L25</f>
        <v>50</v>
      </c>
      <c r="M71" s="742">
        <f t="shared" si="12"/>
        <v>100</v>
      </c>
      <c r="N71" s="742">
        <f>Nuotekos!N25</f>
        <v>200</v>
      </c>
      <c r="O71" s="742">
        <f>Nuotekos!O25</f>
        <v>100</v>
      </c>
      <c r="P71" s="742">
        <f>Nuotekos!P25</f>
        <v>200</v>
      </c>
      <c r="Q71" s="1001">
        <f t="shared" si="5"/>
        <v>840</v>
      </c>
    </row>
    <row r="72" spans="1:17" ht="18.75" customHeight="1">
      <c r="A72" s="28" t="s">
        <v>462</v>
      </c>
      <c r="B72" s="771" t="str">
        <f>Nuotekos!B26</f>
        <v>Smulkios įrangos atnaujinimas nuotekų siurblinėse</v>
      </c>
      <c r="C72" s="738">
        <f>Nuotekos!C26</f>
        <v>0</v>
      </c>
      <c r="D72" s="739">
        <f>Nuotekos!D26</f>
        <v>0</v>
      </c>
      <c r="E72" s="740">
        <f>Nuotekos!E26</f>
        <v>25</v>
      </c>
      <c r="F72" s="740">
        <f>Nuotekos!F26</f>
        <v>10</v>
      </c>
      <c r="G72" s="741">
        <f>Nuotekos!G26</f>
        <v>5</v>
      </c>
      <c r="H72" s="742">
        <f t="shared" si="13"/>
        <v>40</v>
      </c>
      <c r="I72" s="739">
        <f>Nuotekos!I26</f>
        <v>10</v>
      </c>
      <c r="J72" s="740">
        <f>Nuotekos!J26</f>
        <v>10</v>
      </c>
      <c r="K72" s="740">
        <f>Nuotekos!K26</f>
        <v>30</v>
      </c>
      <c r="L72" s="741">
        <f>Nuotekos!L26</f>
        <v>10</v>
      </c>
      <c r="M72" s="742">
        <f t="shared" si="12"/>
        <v>60</v>
      </c>
      <c r="N72" s="742">
        <f>Nuotekos!N26</f>
        <v>90</v>
      </c>
      <c r="O72" s="742">
        <f>Nuotekos!O26</f>
        <v>90</v>
      </c>
      <c r="P72" s="742">
        <f>Nuotekos!P26</f>
        <v>90</v>
      </c>
      <c r="Q72" s="1001">
        <f t="shared" si="5"/>
        <v>370</v>
      </c>
    </row>
    <row r="73" spans="1:17" ht="30.75" customHeight="1">
      <c r="A73" s="28" t="s">
        <v>463</v>
      </c>
      <c r="B73" s="783" t="str">
        <f>Nuotekos!B27</f>
        <v>Įrangos pakeitimas nuotekų valykloje (sklendės, atbuliniai vožtuvai, uždoriai, mėginių imtuvai ir kt.)</v>
      </c>
      <c r="C73" s="738">
        <f>Nuotekos!C27</f>
        <v>0</v>
      </c>
      <c r="D73" s="739">
        <f>Nuotekos!D27</f>
        <v>0</v>
      </c>
      <c r="E73" s="740">
        <f>Nuotekos!E27</f>
        <v>70</v>
      </c>
      <c r="F73" s="740">
        <f>Nuotekos!F27</f>
        <v>76</v>
      </c>
      <c r="G73" s="741">
        <f>Nuotekos!G27</f>
        <v>0</v>
      </c>
      <c r="H73" s="742">
        <f t="shared" si="13"/>
        <v>146</v>
      </c>
      <c r="I73" s="739">
        <f>Nuotekos!I27</f>
        <v>0</v>
      </c>
      <c r="J73" s="740">
        <f>Nuotekos!J27</f>
        <v>40</v>
      </c>
      <c r="K73" s="740">
        <f>Nuotekos!K27</f>
        <v>100</v>
      </c>
      <c r="L73" s="741">
        <f>Nuotekos!L27</f>
        <v>0</v>
      </c>
      <c r="M73" s="742">
        <f t="shared" si="12"/>
        <v>140</v>
      </c>
      <c r="N73" s="742">
        <f>Nuotekos!N27</f>
        <v>80</v>
      </c>
      <c r="O73" s="742">
        <f>Nuotekos!O27</f>
        <v>80</v>
      </c>
      <c r="P73" s="742">
        <f>Nuotekos!P27</f>
        <v>80</v>
      </c>
      <c r="Q73" s="1001">
        <f t="shared" si="5"/>
        <v>526</v>
      </c>
    </row>
    <row r="74" spans="1:17" ht="18.75" customHeight="1">
      <c r="A74" s="28" t="s">
        <v>464</v>
      </c>
      <c r="B74" s="771" t="str">
        <f>Nuotekos!B29</f>
        <v>Antrinio sėsdintuvo Nr. K-3 remontas</v>
      </c>
      <c r="C74" s="738">
        <f>Nuotekos!C29</f>
        <v>0</v>
      </c>
      <c r="D74" s="739">
        <f>Nuotekos!D29</f>
        <v>0</v>
      </c>
      <c r="E74" s="740">
        <f>Nuotekos!E29</f>
        <v>0</v>
      </c>
      <c r="F74" s="740">
        <f>Nuotekos!F29</f>
        <v>0</v>
      </c>
      <c r="G74" s="741">
        <f>Nuotekos!G29</f>
        <v>0</v>
      </c>
      <c r="H74" s="742">
        <f t="shared" si="13"/>
        <v>0</v>
      </c>
      <c r="I74" s="739">
        <f>Nuotekos!I29</f>
        <v>0</v>
      </c>
      <c r="J74" s="740">
        <f>Nuotekos!J29</f>
        <v>100</v>
      </c>
      <c r="K74" s="740">
        <f>Nuotekos!K29</f>
        <v>250</v>
      </c>
      <c r="L74" s="741">
        <f>Nuotekos!L29</f>
        <v>150</v>
      </c>
      <c r="M74" s="742">
        <f t="shared" si="12"/>
        <v>500</v>
      </c>
      <c r="N74" s="742">
        <f>Nuotekos!N29</f>
        <v>0</v>
      </c>
      <c r="O74" s="742">
        <f>Nuotekos!O29</f>
        <v>0</v>
      </c>
      <c r="P74" s="742">
        <f>Nuotekos!P29</f>
        <v>0</v>
      </c>
      <c r="Q74" s="1001">
        <f t="shared" si="5"/>
        <v>500</v>
      </c>
    </row>
    <row r="75" spans="1:17" ht="22.5" customHeight="1">
      <c r="A75" s="28" t="s">
        <v>465</v>
      </c>
      <c r="B75" s="783" t="str">
        <f>Nuotekos!B30</f>
        <v>Nuotekų valyklos pastatų atnaujinimas</v>
      </c>
      <c r="C75" s="738">
        <f>Nuotekos!C30+Nuotekos!C28</f>
        <v>0</v>
      </c>
      <c r="D75" s="739">
        <f>Nuotekos!D30+Nuotekos!D28</f>
        <v>0</v>
      </c>
      <c r="E75" s="740">
        <f>Nuotekos!E30+Nuotekos!E28</f>
        <v>60</v>
      </c>
      <c r="F75" s="740">
        <f>Nuotekos!F30+Nuotekos!F28</f>
        <v>140</v>
      </c>
      <c r="G75" s="741">
        <f>Nuotekos!G30+Nuotekos!G28</f>
        <v>0</v>
      </c>
      <c r="H75" s="742">
        <f>Nuotekos!H30+Nuotekos!H28</f>
        <v>200</v>
      </c>
      <c r="I75" s="739">
        <f>Nuotekos!I30+Nuotekos!I28</f>
        <v>0</v>
      </c>
      <c r="J75" s="740">
        <f>Nuotekos!J30+Nuotekos!J28</f>
        <v>0</v>
      </c>
      <c r="K75" s="740">
        <f>Nuotekos!K30+Nuotekos!K28</f>
        <v>0</v>
      </c>
      <c r="L75" s="741">
        <f>Nuotekos!L30+Nuotekos!L28</f>
        <v>0</v>
      </c>
      <c r="M75" s="742">
        <f>Nuotekos!M30+Nuotekos!M28</f>
        <v>0</v>
      </c>
      <c r="N75" s="742">
        <f>Nuotekos!N30+Nuotekos!N28</f>
        <v>0</v>
      </c>
      <c r="O75" s="742">
        <f>Nuotekos!O30+Nuotekos!O28</f>
        <v>0</v>
      </c>
      <c r="P75" s="742">
        <f>Nuotekos!P30+Nuotekos!P28</f>
        <v>0</v>
      </c>
      <c r="Q75" s="1001">
        <f t="shared" si="5"/>
        <v>200</v>
      </c>
    </row>
    <row r="76" spans="1:17" ht="18.75" customHeight="1">
      <c r="A76" s="28" t="s">
        <v>466</v>
      </c>
      <c r="B76" s="771" t="str">
        <f>Nuotekos!B31</f>
        <v>Siurblių fekalijoms pakeitimas nuotekų valykloje</v>
      </c>
      <c r="C76" s="738">
        <f>Nuotekos!C31</f>
        <v>0</v>
      </c>
      <c r="D76" s="739">
        <f>Nuotekos!D31</f>
        <v>0</v>
      </c>
      <c r="E76" s="740">
        <f>Nuotekos!E31</f>
        <v>30</v>
      </c>
      <c r="F76" s="740">
        <f>Nuotekos!F31</f>
        <v>0</v>
      </c>
      <c r="G76" s="741">
        <f>Nuotekos!G31</f>
        <v>0</v>
      </c>
      <c r="H76" s="742">
        <f t="shared" si="13"/>
        <v>30</v>
      </c>
      <c r="I76" s="739">
        <f>Nuotekos!I31</f>
        <v>0</v>
      </c>
      <c r="J76" s="740">
        <f>Nuotekos!J31</f>
        <v>40</v>
      </c>
      <c r="K76" s="740">
        <f>Nuotekos!K31</f>
        <v>0</v>
      </c>
      <c r="L76" s="741">
        <f>Nuotekos!L31</f>
        <v>0</v>
      </c>
      <c r="M76" s="742">
        <f t="shared" si="12"/>
        <v>40</v>
      </c>
      <c r="N76" s="742">
        <f>Nuotekos!N31</f>
        <v>40</v>
      </c>
      <c r="O76" s="742">
        <f>Nuotekos!O31</f>
        <v>40</v>
      </c>
      <c r="P76" s="742">
        <f>Nuotekos!P31</f>
        <v>40</v>
      </c>
      <c r="Q76" s="1001">
        <f t="shared" si="5"/>
        <v>190</v>
      </c>
    </row>
    <row r="77" spans="1:17" ht="18.75" customHeight="1">
      <c r="A77" s="28" t="s">
        <v>467</v>
      </c>
      <c r="B77" s="771" t="str">
        <f>Nuotekos!B32</f>
        <v>Siurblių dumblui pakeitimas nuotekų valykloje</v>
      </c>
      <c r="C77" s="738">
        <f>Nuotekos!C32</f>
        <v>0</v>
      </c>
      <c r="D77" s="739">
        <f>Nuotekos!D32</f>
        <v>0</v>
      </c>
      <c r="E77" s="740">
        <f>Nuotekos!E32</f>
        <v>0</v>
      </c>
      <c r="F77" s="740">
        <f>Nuotekos!F32</f>
        <v>30</v>
      </c>
      <c r="G77" s="741">
        <f>Nuotekos!G32</f>
        <v>0</v>
      </c>
      <c r="H77" s="742">
        <f t="shared" si="13"/>
        <v>30</v>
      </c>
      <c r="I77" s="739">
        <f>Nuotekos!I32</f>
        <v>0</v>
      </c>
      <c r="J77" s="740">
        <f>Nuotekos!J32</f>
        <v>40</v>
      </c>
      <c r="K77" s="740">
        <f>Nuotekos!K32</f>
        <v>0</v>
      </c>
      <c r="L77" s="741">
        <f>Nuotekos!L32</f>
        <v>0</v>
      </c>
      <c r="M77" s="742">
        <f t="shared" si="12"/>
        <v>40</v>
      </c>
      <c r="N77" s="742">
        <f>Nuotekos!N32</f>
        <v>40</v>
      </c>
      <c r="O77" s="742">
        <f>Nuotekos!O32</f>
        <v>40</v>
      </c>
      <c r="P77" s="742">
        <f>Nuotekos!P32</f>
        <v>40</v>
      </c>
      <c r="Q77" s="1001">
        <f t="shared" si="5"/>
        <v>190</v>
      </c>
    </row>
    <row r="78" spans="1:17" ht="27.75" customHeight="1">
      <c r="A78" s="28" t="s">
        <v>468</v>
      </c>
      <c r="B78" s="783" t="str">
        <f>Nuotekos!B34</f>
        <v>Aerotankų aeracinės sistemos rekonstrukcija</v>
      </c>
      <c r="C78" s="738">
        <f>Nuotekos!C34</f>
        <v>0</v>
      </c>
      <c r="D78" s="739">
        <f>Nuotekos!D34</f>
        <v>0</v>
      </c>
      <c r="E78" s="740">
        <f>Nuotekos!E34</f>
        <v>0</v>
      </c>
      <c r="F78" s="740">
        <f>Nuotekos!F34</f>
        <v>0</v>
      </c>
      <c r="G78" s="741">
        <f>Nuotekos!G34</f>
        <v>0</v>
      </c>
      <c r="H78" s="742">
        <f t="shared" si="13"/>
        <v>0</v>
      </c>
      <c r="I78" s="739">
        <f>Nuotekos!I34</f>
        <v>0</v>
      </c>
      <c r="J78" s="740">
        <f>Nuotekos!J34</f>
        <v>0</v>
      </c>
      <c r="K78" s="740">
        <f>Nuotekos!K34</f>
        <v>400</v>
      </c>
      <c r="L78" s="741">
        <f>Nuotekos!L34</f>
        <v>0</v>
      </c>
      <c r="M78" s="742">
        <f t="shared" si="12"/>
        <v>400</v>
      </c>
      <c r="N78" s="742">
        <f>Nuotekos!N34</f>
        <v>400</v>
      </c>
      <c r="O78" s="742">
        <f>Nuotekos!O34</f>
        <v>0</v>
      </c>
      <c r="P78" s="742">
        <f>Nuotekos!P34</f>
        <v>0</v>
      </c>
      <c r="Q78" s="1001">
        <f t="shared" si="5"/>
        <v>800</v>
      </c>
    </row>
    <row r="79" spans="1:17" s="3" customFormat="1" ht="18.75" customHeight="1">
      <c r="A79" s="28" t="s">
        <v>469</v>
      </c>
      <c r="B79" s="771" t="str">
        <f>Nuotekos!B35</f>
        <v>Nuotekų laboratorijos prietaisų atnaujinimas</v>
      </c>
      <c r="C79" s="738">
        <f>Nuotekos!C35</f>
        <v>0</v>
      </c>
      <c r="D79" s="739">
        <f>Nuotekos!D35</f>
        <v>9.5</v>
      </c>
      <c r="E79" s="740">
        <f>Nuotekos!E35</f>
        <v>0</v>
      </c>
      <c r="F79" s="740">
        <f>Nuotekos!F35</f>
        <v>60</v>
      </c>
      <c r="G79" s="741">
        <f>Nuotekos!G35</f>
        <v>3</v>
      </c>
      <c r="H79" s="742">
        <f t="shared" si="13"/>
        <v>72.5</v>
      </c>
      <c r="I79" s="739">
        <f>Nuotekos!I35</f>
        <v>0</v>
      </c>
      <c r="J79" s="740">
        <f>Nuotekos!J35</f>
        <v>0</v>
      </c>
      <c r="K79" s="740">
        <f>Nuotekos!K35</f>
        <v>30</v>
      </c>
      <c r="L79" s="741">
        <f>Nuotekos!L35</f>
        <v>13</v>
      </c>
      <c r="M79" s="742">
        <f t="shared" si="12"/>
        <v>43</v>
      </c>
      <c r="N79" s="742">
        <f>Nuotekos!N35</f>
        <v>70</v>
      </c>
      <c r="O79" s="742">
        <f>Nuotekos!O35</f>
        <v>170</v>
      </c>
      <c r="P79" s="742">
        <f>Nuotekos!P35</f>
        <v>0</v>
      </c>
      <c r="Q79" s="1001">
        <f t="shared" si="5"/>
        <v>355.5</v>
      </c>
    </row>
    <row r="80" spans="1:17" s="3" customFormat="1" ht="18.75" customHeight="1">
      <c r="A80" s="28" t="s">
        <v>470</v>
      </c>
      <c r="B80" s="771" t="str">
        <f>Ukis!B22</f>
        <v>Planinis kompiuterinės technikos atnaujinimas</v>
      </c>
      <c r="C80" s="738">
        <f>Ukis!C22</f>
        <v>0</v>
      </c>
      <c r="D80" s="739">
        <f>Ukis!D22</f>
        <v>0</v>
      </c>
      <c r="E80" s="740">
        <f>Ukis!E22</f>
        <v>150</v>
      </c>
      <c r="F80" s="740">
        <f>Ukis!F22</f>
        <v>0</v>
      </c>
      <c r="G80" s="741">
        <f>Ukis!G22</f>
        <v>100</v>
      </c>
      <c r="H80" s="742">
        <f t="shared" si="13"/>
        <v>250</v>
      </c>
      <c r="I80" s="739">
        <f>Ukis!I22</f>
        <v>150</v>
      </c>
      <c r="J80" s="740">
        <f>Ukis!J22</f>
        <v>50</v>
      </c>
      <c r="K80" s="740">
        <f>Ukis!K22</f>
        <v>150</v>
      </c>
      <c r="L80" s="741">
        <f>Ukis!L22</f>
        <v>0</v>
      </c>
      <c r="M80" s="742">
        <f t="shared" si="12"/>
        <v>350</v>
      </c>
      <c r="N80" s="742">
        <f>Ukis!N22</f>
        <v>700</v>
      </c>
      <c r="O80" s="742">
        <f>Ukis!O22</f>
        <v>300</v>
      </c>
      <c r="P80" s="742">
        <f>Ukis!P22</f>
        <v>300</v>
      </c>
      <c r="Q80" s="1001">
        <f t="shared" si="5"/>
        <v>1900</v>
      </c>
    </row>
    <row r="81" spans="1:17" s="3" customFormat="1" ht="18.75" customHeight="1">
      <c r="A81" s="28" t="s">
        <v>471</v>
      </c>
      <c r="B81" s="771" t="str">
        <f>Ukis!B23</f>
        <v>Ryšio aparatai ir įranga</v>
      </c>
      <c r="C81" s="738">
        <f>Ukis!C23</f>
        <v>0</v>
      </c>
      <c r="D81" s="739">
        <f>Ukis!D23</f>
        <v>0</v>
      </c>
      <c r="E81" s="740">
        <f>Ukis!E23</f>
        <v>40</v>
      </c>
      <c r="F81" s="740">
        <f>Ukis!F23</f>
        <v>0</v>
      </c>
      <c r="G81" s="741">
        <f>Ukis!G23</f>
        <v>20</v>
      </c>
      <c r="H81" s="742">
        <f t="shared" si="13"/>
        <v>60</v>
      </c>
      <c r="I81" s="739">
        <f>Ukis!I23</f>
        <v>0</v>
      </c>
      <c r="J81" s="740">
        <f>Ukis!J23</f>
        <v>20</v>
      </c>
      <c r="K81" s="740">
        <f>Ukis!K23</f>
        <v>0</v>
      </c>
      <c r="L81" s="741">
        <f>Ukis!L23</f>
        <v>20</v>
      </c>
      <c r="M81" s="742">
        <f t="shared" si="12"/>
        <v>40</v>
      </c>
      <c r="N81" s="742">
        <f>Ukis!N23</f>
        <v>40</v>
      </c>
      <c r="O81" s="742">
        <f>Ukis!O23</f>
        <v>40</v>
      </c>
      <c r="P81" s="742">
        <f>Ukis!P23</f>
        <v>40</v>
      </c>
      <c r="Q81" s="1001">
        <f t="shared" si="5"/>
        <v>220</v>
      </c>
    </row>
    <row r="82" spans="1:17" s="3" customFormat="1" ht="25.5" customHeight="1">
      <c r="A82" s="28" t="s">
        <v>472</v>
      </c>
      <c r="B82" s="783" t="str">
        <f>Ukis!B24</f>
        <v>Nuotekų tvarkymo automatikos įrangos planinis atnaujinimas</v>
      </c>
      <c r="C82" s="738">
        <f>Ukis!C24</f>
        <v>0</v>
      </c>
      <c r="D82" s="739">
        <f>Ukis!D24</f>
        <v>0</v>
      </c>
      <c r="E82" s="740">
        <f>Ukis!E24</f>
        <v>60</v>
      </c>
      <c r="F82" s="740">
        <f>Ukis!F24</f>
        <v>80</v>
      </c>
      <c r="G82" s="741">
        <f>Ukis!G24</f>
        <v>0</v>
      </c>
      <c r="H82" s="742">
        <f t="shared" si="13"/>
        <v>140</v>
      </c>
      <c r="I82" s="739">
        <f>Ukis!I24</f>
        <v>0</v>
      </c>
      <c r="J82" s="740">
        <f>Ukis!J24</f>
        <v>100</v>
      </c>
      <c r="K82" s="740">
        <f>Ukis!K24</f>
        <v>100</v>
      </c>
      <c r="L82" s="741">
        <f>Ukis!L24</f>
        <v>0</v>
      </c>
      <c r="M82" s="742">
        <f t="shared" si="12"/>
        <v>200</v>
      </c>
      <c r="N82" s="742">
        <f>Ukis!N24</f>
        <v>100</v>
      </c>
      <c r="O82" s="742">
        <f>Ukis!O24</f>
        <v>200</v>
      </c>
      <c r="P82" s="742">
        <f>Ukis!P24</f>
        <v>100</v>
      </c>
      <c r="Q82" s="1001">
        <f t="shared" si="5"/>
        <v>740</v>
      </c>
    </row>
    <row r="83" spans="1:17" s="3" customFormat="1" ht="27.75" customHeight="1">
      <c r="A83" s="28" t="s">
        <v>473</v>
      </c>
      <c r="B83" s="783" t="str">
        <f>Ukis!B25</f>
        <v>Vandens tiekimo automatikos įrangos planinis atnaujinimas</v>
      </c>
      <c r="C83" s="738">
        <f>Ukis!C25</f>
        <v>0</v>
      </c>
      <c r="D83" s="739">
        <f>Ukis!D25</f>
        <v>0</v>
      </c>
      <c r="E83" s="740">
        <f>Ukis!E25</f>
        <v>100</v>
      </c>
      <c r="F83" s="740">
        <f>Ukis!F25</f>
        <v>0</v>
      </c>
      <c r="G83" s="741">
        <f>Ukis!G25</f>
        <v>0</v>
      </c>
      <c r="H83" s="742">
        <f t="shared" si="13"/>
        <v>100</v>
      </c>
      <c r="I83" s="739">
        <f>Ukis!I25</f>
        <v>0</v>
      </c>
      <c r="J83" s="740">
        <f>Ukis!J25</f>
        <v>50</v>
      </c>
      <c r="K83" s="740">
        <f>Ukis!K25</f>
        <v>100</v>
      </c>
      <c r="L83" s="741">
        <f>Ukis!L25</f>
        <v>0</v>
      </c>
      <c r="M83" s="742">
        <f t="shared" si="12"/>
        <v>150</v>
      </c>
      <c r="N83" s="742">
        <f>Ukis!N25</f>
        <v>150</v>
      </c>
      <c r="O83" s="742">
        <f>Ukis!O25</f>
        <v>200</v>
      </c>
      <c r="P83" s="742">
        <f>Ukis!P25</f>
        <v>300</v>
      </c>
      <c r="Q83" s="1001">
        <f t="shared" si="5"/>
        <v>900</v>
      </c>
    </row>
    <row r="84" spans="1:17" s="3" customFormat="1" ht="27" customHeight="1">
      <c r="A84" s="28" t="s">
        <v>474</v>
      </c>
      <c r="B84" s="783" t="str">
        <f>Ukis!B26</f>
        <v>Fizinės ir informacinės saugos priemonių atnaujinimas</v>
      </c>
      <c r="C84" s="738">
        <f>Ukis!C26</f>
        <v>0</v>
      </c>
      <c r="D84" s="739">
        <f>Ukis!D26</f>
        <v>0</v>
      </c>
      <c r="E84" s="740">
        <f>Ukis!E26</f>
        <v>0</v>
      </c>
      <c r="F84" s="740">
        <f>Ukis!F26</f>
        <v>50</v>
      </c>
      <c r="G84" s="741">
        <f>Ukis!G26</f>
        <v>0</v>
      </c>
      <c r="H84" s="742">
        <f t="shared" si="13"/>
        <v>50</v>
      </c>
      <c r="I84" s="739">
        <f>Ukis!I26</f>
        <v>0</v>
      </c>
      <c r="J84" s="740">
        <f>Ukis!J26</f>
        <v>40</v>
      </c>
      <c r="K84" s="740">
        <f>Ukis!K26</f>
        <v>60</v>
      </c>
      <c r="L84" s="741">
        <f>Ukis!L26</f>
        <v>0</v>
      </c>
      <c r="M84" s="742">
        <f t="shared" si="12"/>
        <v>100</v>
      </c>
      <c r="N84" s="742">
        <f>Ukis!N26</f>
        <v>150</v>
      </c>
      <c r="O84" s="742">
        <f>Ukis!O26</f>
        <v>150</v>
      </c>
      <c r="P84" s="742">
        <f>Ukis!P26</f>
        <v>150</v>
      </c>
      <c r="Q84" s="1001">
        <f t="shared" si="5"/>
        <v>600</v>
      </c>
    </row>
    <row r="85" spans="1:17" s="3" customFormat="1" ht="18.75" customHeight="1">
      <c r="A85" s="28" t="s">
        <v>475</v>
      </c>
      <c r="B85" s="771" t="str">
        <f>Ukis!B27</f>
        <v>Metrologinių prietaisų atnaujinimas</v>
      </c>
      <c r="C85" s="738">
        <f>Ukis!C27</f>
        <v>0</v>
      </c>
      <c r="D85" s="739">
        <f>Ukis!D27</f>
        <v>0</v>
      </c>
      <c r="E85" s="740">
        <f>Ukis!E27</f>
        <v>40</v>
      </c>
      <c r="F85" s="740">
        <f>Ukis!F27</f>
        <v>0</v>
      </c>
      <c r="G85" s="741">
        <f>Ukis!G27</f>
        <v>0</v>
      </c>
      <c r="H85" s="742">
        <f t="shared" si="13"/>
        <v>40</v>
      </c>
      <c r="I85" s="739">
        <f>Ukis!I27</f>
        <v>0</v>
      </c>
      <c r="J85" s="740">
        <f>Ukis!J27</f>
        <v>0</v>
      </c>
      <c r="K85" s="740">
        <f>Ukis!K27</f>
        <v>40</v>
      </c>
      <c r="L85" s="741">
        <f>Ukis!L27</f>
        <v>0</v>
      </c>
      <c r="M85" s="742">
        <f t="shared" si="12"/>
        <v>40</v>
      </c>
      <c r="N85" s="742">
        <f>Ukis!N27</f>
        <v>0</v>
      </c>
      <c r="O85" s="742">
        <f>Ukis!O27</f>
        <v>0</v>
      </c>
      <c r="P85" s="742">
        <f>Ukis!P27</f>
        <v>0</v>
      </c>
      <c r="Q85" s="1001">
        <f t="shared" si="5"/>
        <v>80</v>
      </c>
    </row>
    <row r="86" spans="1:17" s="3" customFormat="1" ht="18.75" customHeight="1">
      <c r="A86" s="28" t="s">
        <v>476</v>
      </c>
      <c r="B86" s="771" t="str">
        <f>Ukis!B28</f>
        <v>Pastatų remontas</v>
      </c>
      <c r="C86" s="738">
        <f>Ukis!C28</f>
        <v>0</v>
      </c>
      <c r="D86" s="739">
        <f>Ukis!D28</f>
        <v>0</v>
      </c>
      <c r="E86" s="740">
        <f>Ukis!E28</f>
        <v>40</v>
      </c>
      <c r="F86" s="740">
        <f>Ukis!F28</f>
        <v>210</v>
      </c>
      <c r="G86" s="741">
        <f>Ukis!G28</f>
        <v>0</v>
      </c>
      <c r="H86" s="742">
        <f t="shared" si="13"/>
        <v>250</v>
      </c>
      <c r="I86" s="739">
        <f>Ukis!I28</f>
        <v>0</v>
      </c>
      <c r="J86" s="740">
        <f>Ukis!J28</f>
        <v>50</v>
      </c>
      <c r="K86" s="740">
        <f>Ukis!K28</f>
        <v>50</v>
      </c>
      <c r="L86" s="741">
        <f>Ukis!L28</f>
        <v>100</v>
      </c>
      <c r="M86" s="742">
        <f t="shared" si="12"/>
        <v>200</v>
      </c>
      <c r="N86" s="742">
        <f>Ukis!N28</f>
        <v>200</v>
      </c>
      <c r="O86" s="742">
        <f>Ukis!O28</f>
        <v>200</v>
      </c>
      <c r="P86" s="742">
        <f>Ukis!P28</f>
        <v>200</v>
      </c>
      <c r="Q86" s="1001">
        <f t="shared" si="5"/>
        <v>1050</v>
      </c>
    </row>
    <row r="87" spans="1:17" s="3" customFormat="1" ht="18.75" customHeight="1">
      <c r="A87" s="28" t="s">
        <v>477</v>
      </c>
      <c r="B87" s="771" t="str">
        <f>Ukis!B29</f>
        <v>Automombilių planinis atnaujinimas</v>
      </c>
      <c r="C87" s="738">
        <f>Ukis!C29</f>
        <v>0</v>
      </c>
      <c r="D87" s="739">
        <f>Ukis!D29</f>
        <v>0</v>
      </c>
      <c r="E87" s="740">
        <f>Ukis!E29</f>
        <v>0</v>
      </c>
      <c r="F87" s="740">
        <f>Ukis!F29</f>
        <v>0</v>
      </c>
      <c r="G87" s="741">
        <f>Ukis!G29</f>
        <v>0</v>
      </c>
      <c r="H87" s="742">
        <f t="shared" si="13"/>
        <v>0</v>
      </c>
      <c r="I87" s="739">
        <f>Ukis!I29</f>
        <v>0</v>
      </c>
      <c r="J87" s="740">
        <f>Ukis!J29</f>
        <v>0</v>
      </c>
      <c r="K87" s="740">
        <f>Ukis!K29</f>
        <v>400</v>
      </c>
      <c r="L87" s="741">
        <f>Ukis!L29</f>
        <v>0</v>
      </c>
      <c r="M87" s="742">
        <f t="shared" si="12"/>
        <v>400</v>
      </c>
      <c r="N87" s="742">
        <f>Ukis!N29</f>
        <v>200</v>
      </c>
      <c r="O87" s="742">
        <f>Ukis!O29</f>
        <v>300</v>
      </c>
      <c r="P87" s="742">
        <f>Ukis!P29</f>
        <v>300</v>
      </c>
      <c r="Q87" s="1001">
        <f t="shared" si="5"/>
        <v>1200</v>
      </c>
    </row>
    <row r="88" spans="1:17" s="3" customFormat="1" ht="18.75" customHeight="1">
      <c r="A88" s="28" t="s">
        <v>478</v>
      </c>
      <c r="B88" s="771" t="str">
        <f>Ukis!B30</f>
        <v>Traktorių atnaujinimas</v>
      </c>
      <c r="C88" s="738">
        <f>Ukis!C30</f>
        <v>0</v>
      </c>
      <c r="D88" s="739">
        <f>Ukis!D30</f>
        <v>0</v>
      </c>
      <c r="E88" s="740">
        <f>Ukis!E30</f>
        <v>230</v>
      </c>
      <c r="F88" s="740">
        <f>Ukis!F30</f>
        <v>0</v>
      </c>
      <c r="G88" s="741">
        <f>Ukis!G30</f>
        <v>0</v>
      </c>
      <c r="H88" s="742">
        <f t="shared" si="13"/>
        <v>230</v>
      </c>
      <c r="I88" s="739">
        <f>Ukis!I30</f>
        <v>0</v>
      </c>
      <c r="J88" s="740">
        <f>Ukis!J30</f>
        <v>0</v>
      </c>
      <c r="K88" s="740">
        <f>Ukis!K30</f>
        <v>0</v>
      </c>
      <c r="L88" s="741">
        <f>Ukis!L30</f>
        <v>0</v>
      </c>
      <c r="M88" s="742">
        <f t="shared" si="12"/>
        <v>0</v>
      </c>
      <c r="N88" s="742">
        <f>Ukis!N30</f>
        <v>0</v>
      </c>
      <c r="O88" s="742">
        <f>Ukis!O30</f>
        <v>0</v>
      </c>
      <c r="P88" s="742">
        <f>Ukis!P30</f>
        <v>0</v>
      </c>
      <c r="Q88" s="1001">
        <f t="shared" si="5"/>
        <v>230</v>
      </c>
    </row>
    <row r="89" spans="1:17" s="3" customFormat="1" ht="18.75" customHeight="1">
      <c r="A89" s="28" t="s">
        <v>479</v>
      </c>
      <c r="B89" s="771" t="str">
        <f>Ukis!B31</f>
        <v>Eskavatoriaus atnaujinimas</v>
      </c>
      <c r="C89" s="738">
        <f>Ukis!C31</f>
        <v>0</v>
      </c>
      <c r="D89" s="739">
        <f>Ukis!D31</f>
        <v>0</v>
      </c>
      <c r="E89" s="740">
        <f>Ukis!E31</f>
        <v>0</v>
      </c>
      <c r="F89" s="740">
        <f>Ukis!F31</f>
        <v>0</v>
      </c>
      <c r="G89" s="741">
        <f>Ukis!G31</f>
        <v>0</v>
      </c>
      <c r="H89" s="742">
        <f t="shared" si="13"/>
        <v>0</v>
      </c>
      <c r="I89" s="739">
        <f>Ukis!I31</f>
        <v>0</v>
      </c>
      <c r="J89" s="740">
        <f>Ukis!J31</f>
        <v>170</v>
      </c>
      <c r="K89" s="740">
        <f>Ukis!K31</f>
        <v>0</v>
      </c>
      <c r="L89" s="741">
        <f>Ukis!L31</f>
        <v>0</v>
      </c>
      <c r="M89" s="742">
        <f t="shared" si="12"/>
        <v>170</v>
      </c>
      <c r="N89" s="742">
        <f>Ukis!N31</f>
        <v>0</v>
      </c>
      <c r="O89" s="742">
        <f>Ukis!O31</f>
        <v>0</v>
      </c>
      <c r="P89" s="742">
        <f>Ukis!P31</f>
        <v>0</v>
      </c>
      <c r="Q89" s="1001">
        <f t="shared" si="5"/>
        <v>170</v>
      </c>
    </row>
    <row r="90" spans="1:17" s="3" customFormat="1" ht="18.75" customHeight="1">
      <c r="A90" s="28" t="s">
        <v>480</v>
      </c>
      <c r="B90" s="771" t="str">
        <f>Ukis!B32</f>
        <v>Kondicionavimo sistemų planinis atnaujinimas</v>
      </c>
      <c r="C90" s="738">
        <f>Ukis!C32</f>
        <v>0</v>
      </c>
      <c r="D90" s="739">
        <f>Ukis!D32</f>
        <v>0</v>
      </c>
      <c r="E90" s="740">
        <f>Ukis!E32</f>
        <v>20</v>
      </c>
      <c r="F90" s="740">
        <f>Ukis!F32</f>
        <v>0</v>
      </c>
      <c r="G90" s="741">
        <f>Ukis!G32</f>
        <v>0</v>
      </c>
      <c r="H90" s="742">
        <f t="shared" si="13"/>
        <v>20</v>
      </c>
      <c r="I90" s="739">
        <f>Ukis!I32</f>
        <v>0</v>
      </c>
      <c r="J90" s="740">
        <f>Ukis!J32</f>
        <v>20</v>
      </c>
      <c r="K90" s="740">
        <f>Ukis!K32</f>
        <v>0</v>
      </c>
      <c r="L90" s="741">
        <f>Ukis!L32</f>
        <v>0</v>
      </c>
      <c r="M90" s="742">
        <f t="shared" si="12"/>
        <v>20</v>
      </c>
      <c r="N90" s="742">
        <f>Ukis!N32</f>
        <v>30</v>
      </c>
      <c r="O90" s="742">
        <f>Ukis!O32</f>
        <v>30</v>
      </c>
      <c r="P90" s="742">
        <f>Ukis!P32</f>
        <v>30</v>
      </c>
      <c r="Q90" s="1001">
        <f aca="true" t="shared" si="14" ref="Q90:Q139">SUM(H90+M90+N90+O90+P90)</f>
        <v>130</v>
      </c>
    </row>
    <row r="91" spans="1:17" s="3" customFormat="1" ht="18.75" customHeight="1">
      <c r="A91" s="28" t="s">
        <v>481</v>
      </c>
      <c r="B91" s="771" t="str">
        <f>Ukis!B33</f>
        <v>Įrengimų ir įrankių atnaujinimas</v>
      </c>
      <c r="C91" s="738">
        <f>Ukis!C33</f>
        <v>0</v>
      </c>
      <c r="D91" s="739">
        <f>Ukis!D33</f>
        <v>18</v>
      </c>
      <c r="E91" s="740">
        <f>Ukis!E33</f>
        <v>64</v>
      </c>
      <c r="F91" s="740">
        <f>Ukis!F33</f>
        <v>13</v>
      </c>
      <c r="G91" s="741">
        <f>Ukis!G33</f>
        <v>20</v>
      </c>
      <c r="H91" s="742">
        <f t="shared" si="13"/>
        <v>115</v>
      </c>
      <c r="I91" s="739">
        <f>Ukis!I33</f>
        <v>14</v>
      </c>
      <c r="J91" s="740">
        <f>Ukis!J33</f>
        <v>31</v>
      </c>
      <c r="K91" s="740">
        <f>Ukis!K33</f>
        <v>0</v>
      </c>
      <c r="L91" s="741">
        <f>Ukis!L33</f>
        <v>20</v>
      </c>
      <c r="M91" s="742">
        <f t="shared" si="12"/>
        <v>65</v>
      </c>
      <c r="N91" s="742">
        <f>Ukis!N33</f>
        <v>75</v>
      </c>
      <c r="O91" s="742">
        <f>Ukis!O33</f>
        <v>70</v>
      </c>
      <c r="P91" s="742">
        <f>Ukis!P33</f>
        <v>75</v>
      </c>
      <c r="Q91" s="1001">
        <f t="shared" si="14"/>
        <v>400</v>
      </c>
    </row>
    <row r="92" spans="1:17" s="3" customFormat="1" ht="27" customHeight="1">
      <c r="A92" s="28" t="s">
        <v>482</v>
      </c>
      <c r="B92" s="783" t="str">
        <f>Ukis!B34</f>
        <v>Elektros paskirstymo įrangos planinis atnaujinimas</v>
      </c>
      <c r="C92" s="738">
        <f>Ukis!C34</f>
        <v>0</v>
      </c>
      <c r="D92" s="739">
        <f>Ukis!D34</f>
        <v>0</v>
      </c>
      <c r="E92" s="740">
        <f>Ukis!E34</f>
        <v>0</v>
      </c>
      <c r="F92" s="740">
        <f>Ukis!F34</f>
        <v>80</v>
      </c>
      <c r="G92" s="741">
        <f>Ukis!G34</f>
        <v>0</v>
      </c>
      <c r="H92" s="742">
        <f t="shared" si="13"/>
        <v>80</v>
      </c>
      <c r="I92" s="739">
        <f>Ukis!I34</f>
        <v>0</v>
      </c>
      <c r="J92" s="740">
        <f>Ukis!J34</f>
        <v>50</v>
      </c>
      <c r="K92" s="740">
        <f>Ukis!K34</f>
        <v>40</v>
      </c>
      <c r="L92" s="741">
        <f>Ukis!L34</f>
        <v>0</v>
      </c>
      <c r="M92" s="742">
        <f t="shared" si="12"/>
        <v>90</v>
      </c>
      <c r="N92" s="742">
        <f>Ukis!N34</f>
        <v>90</v>
      </c>
      <c r="O92" s="742">
        <f>Ukis!O34</f>
        <v>90</v>
      </c>
      <c r="P92" s="742">
        <f>Ukis!P34</f>
        <v>90</v>
      </c>
      <c r="Q92" s="1001">
        <f t="shared" si="14"/>
        <v>440</v>
      </c>
    </row>
    <row r="93" spans="1:17" s="3" customFormat="1" ht="27" customHeight="1">
      <c r="A93" s="28" t="s">
        <v>483</v>
      </c>
      <c r="B93" s="783" t="str">
        <f>Ukis!B35</f>
        <v>Elektros energijos monitoringo ir ekonomijos sistema</v>
      </c>
      <c r="C93" s="738">
        <f>Ukis!C35</f>
        <v>0</v>
      </c>
      <c r="D93" s="739">
        <f>Ukis!D35</f>
        <v>0</v>
      </c>
      <c r="E93" s="740">
        <f>Ukis!E35</f>
        <v>50</v>
      </c>
      <c r="F93" s="740">
        <f>Ukis!F35</f>
        <v>20</v>
      </c>
      <c r="G93" s="741">
        <f>Ukis!G35</f>
        <v>0</v>
      </c>
      <c r="H93" s="742">
        <f t="shared" si="13"/>
        <v>70</v>
      </c>
      <c r="I93" s="739">
        <f>Ukis!I35</f>
        <v>0</v>
      </c>
      <c r="J93" s="740">
        <f>Ukis!J35</f>
        <v>0</v>
      </c>
      <c r="K93" s="740">
        <f>Ukis!K35</f>
        <v>40</v>
      </c>
      <c r="L93" s="741">
        <f>Ukis!L35</f>
        <v>0</v>
      </c>
      <c r="M93" s="742">
        <f t="shared" si="12"/>
        <v>40</v>
      </c>
      <c r="N93" s="742">
        <f>Ukis!N35</f>
        <v>30</v>
      </c>
      <c r="O93" s="742">
        <f>Ukis!O35</f>
        <v>30</v>
      </c>
      <c r="P93" s="742">
        <f>Ukis!P35</f>
        <v>30</v>
      </c>
      <c r="Q93" s="1001">
        <f t="shared" si="14"/>
        <v>200</v>
      </c>
    </row>
    <row r="94" spans="1:17" s="3" customFormat="1" ht="18.75" customHeight="1">
      <c r="A94" s="28" t="s">
        <v>484</v>
      </c>
      <c r="B94" s="684" t="str">
        <f>Pardavimai!B24</f>
        <v>Įvadiniai vandens skaitikliai</v>
      </c>
      <c r="C94" s="738">
        <f>Pardavimai!C24</f>
        <v>0</v>
      </c>
      <c r="D94" s="754">
        <f>Pardavimai!D24</f>
        <v>35</v>
      </c>
      <c r="E94" s="755">
        <f>Pardavimai!E24</f>
        <v>35</v>
      </c>
      <c r="F94" s="755">
        <f>Pardavimai!F24</f>
        <v>35</v>
      </c>
      <c r="G94" s="756">
        <f>Pardavimai!G24</f>
        <v>35</v>
      </c>
      <c r="H94" s="742">
        <f t="shared" si="13"/>
        <v>140</v>
      </c>
      <c r="I94" s="739">
        <f>Pardavimai!I24</f>
        <v>30</v>
      </c>
      <c r="J94" s="740">
        <f>Pardavimai!J24</f>
        <v>35</v>
      </c>
      <c r="K94" s="740">
        <f>Pardavimai!K24</f>
        <v>30</v>
      </c>
      <c r="L94" s="741">
        <f>Pardavimai!L24</f>
        <v>35</v>
      </c>
      <c r="M94" s="742">
        <f t="shared" si="12"/>
        <v>130</v>
      </c>
      <c r="N94" s="742">
        <f>Pardavimai!N24</f>
        <v>130</v>
      </c>
      <c r="O94" s="742">
        <f>Pardavimai!O24</f>
        <v>130</v>
      </c>
      <c r="P94" s="742">
        <f>Pardavimai!P24</f>
        <v>130</v>
      </c>
      <c r="Q94" s="1001">
        <f t="shared" si="14"/>
        <v>660</v>
      </c>
    </row>
    <row r="95" spans="1:17" s="3" customFormat="1" ht="18.75" customHeight="1">
      <c r="A95" s="28" t="s">
        <v>485</v>
      </c>
      <c r="B95" s="684" t="str">
        <f>Pardavimai!B25</f>
        <v>Butiniai vandens skaitikliai</v>
      </c>
      <c r="C95" s="738">
        <f>Pardavimai!C25</f>
        <v>0</v>
      </c>
      <c r="D95" s="754">
        <f>Pardavimai!D25</f>
        <v>125</v>
      </c>
      <c r="E95" s="755">
        <f>Pardavimai!E25</f>
        <v>125</v>
      </c>
      <c r="F95" s="755">
        <f>Pardavimai!F25</f>
        <v>125</v>
      </c>
      <c r="G95" s="756">
        <f>Pardavimai!G25</f>
        <v>125</v>
      </c>
      <c r="H95" s="742">
        <f t="shared" si="13"/>
        <v>500</v>
      </c>
      <c r="I95" s="739">
        <f>Pardavimai!I25</f>
        <v>250</v>
      </c>
      <c r="J95" s="740">
        <f>Pardavimai!J25</f>
        <v>250</v>
      </c>
      <c r="K95" s="740">
        <f>Pardavimai!K25</f>
        <v>250</v>
      </c>
      <c r="L95" s="741">
        <f>Pardavimai!L25</f>
        <v>250</v>
      </c>
      <c r="M95" s="742">
        <f t="shared" si="12"/>
        <v>1000</v>
      </c>
      <c r="N95" s="742">
        <f>Pardavimai!N25</f>
        <v>1000</v>
      </c>
      <c r="O95" s="742">
        <f>Pardavimai!O25</f>
        <v>1000</v>
      </c>
      <c r="P95" s="742">
        <f>Pardavimai!P25</f>
        <v>1000</v>
      </c>
      <c r="Q95" s="1001">
        <f t="shared" si="14"/>
        <v>4500</v>
      </c>
    </row>
    <row r="96" spans="1:17" s="3" customFormat="1" ht="27.75" customHeight="1">
      <c r="A96" s="28" t="s">
        <v>486</v>
      </c>
      <c r="B96" s="685" t="str">
        <f>Pardavimai!B26</f>
        <v>Elektromagnetiniai debitmačiai (vandens ir nuotekų apskaitai)</v>
      </c>
      <c r="C96" s="738">
        <f>Pardavimai!C26</f>
        <v>0</v>
      </c>
      <c r="D96" s="754">
        <f>Pardavimai!D26</f>
        <v>0</v>
      </c>
      <c r="E96" s="755">
        <f>Pardavimai!E26</f>
        <v>8</v>
      </c>
      <c r="F96" s="755">
        <f>Pardavimai!F26</f>
        <v>8</v>
      </c>
      <c r="G96" s="756">
        <f>Pardavimai!G26</f>
        <v>0</v>
      </c>
      <c r="H96" s="742">
        <f t="shared" si="13"/>
        <v>16</v>
      </c>
      <c r="I96" s="739">
        <f>Pardavimai!I26</f>
        <v>0</v>
      </c>
      <c r="J96" s="740">
        <f>Pardavimai!J26</f>
        <v>15</v>
      </c>
      <c r="K96" s="740">
        <f>Pardavimai!K26</f>
        <v>0</v>
      </c>
      <c r="L96" s="741">
        <f>Pardavimai!L26</f>
        <v>0</v>
      </c>
      <c r="M96" s="742">
        <f t="shared" si="12"/>
        <v>15</v>
      </c>
      <c r="N96" s="742">
        <f>Pardavimai!N26</f>
        <v>30</v>
      </c>
      <c r="O96" s="742">
        <f>Pardavimai!O26</f>
        <v>30</v>
      </c>
      <c r="P96" s="742">
        <f>Pardavimai!P26</f>
        <v>30</v>
      </c>
      <c r="Q96" s="1001">
        <f t="shared" si="14"/>
        <v>121</v>
      </c>
    </row>
    <row r="97" spans="1:17" s="3" customFormat="1" ht="18.75" customHeight="1">
      <c r="A97" s="28" t="s">
        <v>487</v>
      </c>
      <c r="B97" s="684" t="str">
        <f>Pardavimai!B27</f>
        <v>Skaitiklių ūkio įrankių ir įrangos atnaujinimas</v>
      </c>
      <c r="C97" s="738">
        <f>Pardavimai!C27</f>
        <v>0</v>
      </c>
      <c r="D97" s="754">
        <f>Pardavimai!D27</f>
        <v>15</v>
      </c>
      <c r="E97" s="755">
        <f>Pardavimai!E27</f>
        <v>15</v>
      </c>
      <c r="F97" s="755">
        <f>Pardavimai!F27</f>
        <v>6</v>
      </c>
      <c r="G97" s="756">
        <f>Pardavimai!G27</f>
        <v>2</v>
      </c>
      <c r="H97" s="742">
        <f t="shared" si="13"/>
        <v>38</v>
      </c>
      <c r="I97" s="739">
        <f>Pardavimai!I27</f>
        <v>2</v>
      </c>
      <c r="J97" s="740">
        <f>Pardavimai!J27</f>
        <v>2</v>
      </c>
      <c r="K97" s="740">
        <f>Pardavimai!K27</f>
        <v>6</v>
      </c>
      <c r="L97" s="741">
        <f>Pardavimai!L27</f>
        <v>2</v>
      </c>
      <c r="M97" s="742">
        <f t="shared" si="12"/>
        <v>12</v>
      </c>
      <c r="N97" s="742">
        <f>Pardavimai!N27</f>
        <v>12</v>
      </c>
      <c r="O97" s="742">
        <f>Pardavimai!O27</f>
        <v>12</v>
      </c>
      <c r="P97" s="742">
        <f>Pardavimai!P27</f>
        <v>12</v>
      </c>
      <c r="Q97" s="1001">
        <f t="shared" si="14"/>
        <v>86</v>
      </c>
    </row>
    <row r="98" spans="1:17" ht="18.75" customHeight="1">
      <c r="A98" s="32" t="s">
        <v>73</v>
      </c>
      <c r="B98" s="33" t="s">
        <v>72</v>
      </c>
      <c r="C98" s="722">
        <f>SUM(C99+C111+C120)</f>
        <v>23999.4</v>
      </c>
      <c r="D98" s="723">
        <f aca="true" t="shared" si="15" ref="D98:P98">SUM(D99+D111+D120)</f>
        <v>1425.0000000000002</v>
      </c>
      <c r="E98" s="724">
        <f t="shared" si="15"/>
        <v>6477.200000000001</v>
      </c>
      <c r="F98" s="724">
        <f t="shared" si="15"/>
        <v>5890.3</v>
      </c>
      <c r="G98" s="725">
        <f t="shared" si="15"/>
        <v>6092.9</v>
      </c>
      <c r="H98" s="726">
        <f t="shared" si="15"/>
        <v>19885.4</v>
      </c>
      <c r="I98" s="723">
        <f t="shared" si="15"/>
        <v>9996.7</v>
      </c>
      <c r="J98" s="724">
        <f t="shared" si="15"/>
        <v>2575.2</v>
      </c>
      <c r="K98" s="724">
        <f t="shared" si="15"/>
        <v>1700</v>
      </c>
      <c r="L98" s="725">
        <f t="shared" si="15"/>
        <v>1423.7</v>
      </c>
      <c r="M98" s="726">
        <f t="shared" si="15"/>
        <v>15695.6</v>
      </c>
      <c r="N98" s="726">
        <f t="shared" si="15"/>
        <v>3690</v>
      </c>
      <c r="O98" s="726">
        <f t="shared" si="15"/>
        <v>3560</v>
      </c>
      <c r="P98" s="726">
        <f t="shared" si="15"/>
        <v>2430</v>
      </c>
      <c r="Q98" s="999">
        <f t="shared" si="14"/>
        <v>45261</v>
      </c>
    </row>
    <row r="99" spans="1:17" ht="18.75" customHeight="1">
      <c r="A99" s="30" t="s">
        <v>47</v>
      </c>
      <c r="B99" s="25" t="s">
        <v>43</v>
      </c>
      <c r="C99" s="727">
        <f>SUM(C100:C110)</f>
        <v>23943.4</v>
      </c>
      <c r="D99" s="728">
        <f aca="true" t="shared" si="16" ref="D99:P99">SUM(D100:D110)</f>
        <v>1425.0000000000002</v>
      </c>
      <c r="E99" s="729">
        <f t="shared" si="16"/>
        <v>6424.200000000001</v>
      </c>
      <c r="F99" s="729">
        <f t="shared" si="16"/>
        <v>4422.3</v>
      </c>
      <c r="G99" s="730">
        <f t="shared" si="16"/>
        <v>5639.9</v>
      </c>
      <c r="H99" s="731">
        <f t="shared" si="16"/>
        <v>17911.4</v>
      </c>
      <c r="I99" s="728">
        <f t="shared" si="16"/>
        <v>9881.7</v>
      </c>
      <c r="J99" s="729">
        <f t="shared" si="16"/>
        <v>2220.2</v>
      </c>
      <c r="K99" s="729">
        <f t="shared" si="16"/>
        <v>160</v>
      </c>
      <c r="L99" s="730">
        <f t="shared" si="16"/>
        <v>783.7</v>
      </c>
      <c r="M99" s="731">
        <f t="shared" si="16"/>
        <v>13045.6</v>
      </c>
      <c r="N99" s="731">
        <f t="shared" si="16"/>
        <v>950</v>
      </c>
      <c r="O99" s="731">
        <f t="shared" si="16"/>
        <v>350</v>
      </c>
      <c r="P99" s="731">
        <f t="shared" si="16"/>
        <v>250</v>
      </c>
      <c r="Q99" s="1000">
        <f t="shared" si="14"/>
        <v>32507</v>
      </c>
    </row>
    <row r="100" spans="1:17" s="887" customFormat="1" ht="18.75" customHeight="1">
      <c r="A100" s="27" t="s">
        <v>74</v>
      </c>
      <c r="B100" s="684" t="str">
        <f>'Investic.projektai'!B75</f>
        <v>Vandentiekio ir nuotekų tinklų plėtra Klaipėdos rajone</v>
      </c>
      <c r="C100" s="738">
        <f>'Investic.projektai'!C75-'Investic.projektai'!C91</f>
        <v>9876.9</v>
      </c>
      <c r="D100" s="739">
        <f>'Investic.projektai'!D75-'Investic.projektai'!D91</f>
        <v>321.2</v>
      </c>
      <c r="E100" s="740">
        <f>'Investic.projektai'!E75-'Investic.projektai'!E91</f>
        <v>4076.1</v>
      </c>
      <c r="F100" s="740">
        <f>'Investic.projektai'!F75-'Investic.projektai'!F91</f>
        <v>3410.1</v>
      </c>
      <c r="G100" s="741">
        <f>'Investic.projektai'!G75-'Investic.projektai'!G91</f>
        <v>3365.2</v>
      </c>
      <c r="H100" s="742">
        <f>'Investic.projektai'!H75-'Investic.projektai'!H91</f>
        <v>11172.6</v>
      </c>
      <c r="I100" s="739">
        <f>'Investic.projektai'!I75-'Investic.projektai'!I91</f>
        <v>9881.7</v>
      </c>
      <c r="J100" s="740">
        <f>'Investic.projektai'!J75-'Investic.projektai'!J91</f>
        <v>1627.9</v>
      </c>
      <c r="K100" s="740">
        <f>'Investic.projektai'!K75-'Investic.projektai'!K91</f>
        <v>0</v>
      </c>
      <c r="L100" s="741">
        <f>'Investic.projektai'!L75-'Investic.projektai'!L91</f>
        <v>0</v>
      </c>
      <c r="M100" s="742">
        <f>'Investic.projektai'!M75-'Investic.projektai'!M91</f>
        <v>11509.6</v>
      </c>
      <c r="N100" s="736">
        <f>'Investic.projektai'!N75-'Investic.projektai'!N91</f>
        <v>0</v>
      </c>
      <c r="O100" s="736">
        <f>'Investic.projektai'!O75-'Investic.projektai'!O91</f>
        <v>0</v>
      </c>
      <c r="P100" s="736">
        <f>'Investic.projektai'!P75-'Investic.projektai'!P91</f>
        <v>0</v>
      </c>
      <c r="Q100" s="1001">
        <f t="shared" si="14"/>
        <v>22682.2</v>
      </c>
    </row>
    <row r="101" spans="1:17" s="887" customFormat="1" ht="30" customHeight="1">
      <c r="A101" s="27" t="s">
        <v>75</v>
      </c>
      <c r="B101" s="685" t="str">
        <f>'Investic.projektai rajon.'!B16</f>
        <v>Vandens tiekimo ir nuotekų tvarkymo infrastruktūros renovavimas ir plėtra Klaipėdos rajone</v>
      </c>
      <c r="C101" s="738">
        <f>'Investic.projektai rajon.'!C16</f>
        <v>11710.5</v>
      </c>
      <c r="D101" s="739">
        <f>'Investic.projektai rajon.'!D16</f>
        <v>1023.9000000000001</v>
      </c>
      <c r="E101" s="740">
        <f>'Investic.projektai rajon.'!E16</f>
        <v>1547</v>
      </c>
      <c r="F101" s="740">
        <f>'Investic.projektai rajon.'!F16</f>
        <v>0</v>
      </c>
      <c r="G101" s="741">
        <f>'Investic.projektai rajon.'!G16</f>
        <v>0</v>
      </c>
      <c r="H101" s="742">
        <f>'Investic.projektai rajon.'!H16</f>
        <v>2570.9</v>
      </c>
      <c r="I101" s="739">
        <f>'Investic.projektai rajon.'!I16</f>
        <v>0</v>
      </c>
      <c r="J101" s="740">
        <f>'Investic.projektai rajon.'!J16</f>
        <v>29.3</v>
      </c>
      <c r="K101" s="740">
        <f>'Investic.projektai rajon.'!K16</f>
        <v>0</v>
      </c>
      <c r="L101" s="741">
        <f>'Investic.projektai rajon.'!L16</f>
        <v>0</v>
      </c>
      <c r="M101" s="742">
        <f>'Investic.projektai rajon.'!M16</f>
        <v>29.3</v>
      </c>
      <c r="N101" s="736">
        <f>'Investic.projektai rajon.'!N16</f>
        <v>0</v>
      </c>
      <c r="O101" s="736">
        <f>'Investic.projektai rajon.'!O16</f>
        <v>0</v>
      </c>
      <c r="P101" s="736">
        <f>'Investic.projektai rajon.'!P16</f>
        <v>0</v>
      </c>
      <c r="Q101" s="1001">
        <f t="shared" si="14"/>
        <v>2600.2000000000003</v>
      </c>
    </row>
    <row r="102" spans="1:17" s="887" customFormat="1" ht="32.25" customHeight="1">
      <c r="A102" s="27" t="s">
        <v>76</v>
      </c>
      <c r="B102" s="685" t="str">
        <f>'Investic.projektai rajon.'!B34</f>
        <v>Vandens tiekimo ir nuotekų tvarkymo infrastruktūros renovavimas ir plėtra Klaipėdos rajone (Endriejave)</v>
      </c>
      <c r="C102" s="738">
        <f>'Investic.projektai rajon.'!C34</f>
        <v>1925.7</v>
      </c>
      <c r="D102" s="739">
        <f>'Investic.projektai rajon.'!D34</f>
        <v>69.7</v>
      </c>
      <c r="E102" s="740">
        <f>'Investic.projektai rajon.'!E34</f>
        <v>713.8</v>
      </c>
      <c r="F102" s="740">
        <f>'Investic.projektai rajon.'!F34</f>
        <v>707.9000000000001</v>
      </c>
      <c r="G102" s="741">
        <f>'Investic.projektai rajon.'!G34</f>
        <v>0</v>
      </c>
      <c r="H102" s="742">
        <f>'Investic.projektai rajon.'!H34</f>
        <v>1491.4</v>
      </c>
      <c r="I102" s="739">
        <f>'Investic.projektai rajon.'!I34</f>
        <v>0</v>
      </c>
      <c r="J102" s="740">
        <f>'Investic.projektai rajon.'!J34</f>
        <v>0</v>
      </c>
      <c r="K102" s="740">
        <f>'Investic.projektai rajon.'!K34</f>
        <v>10</v>
      </c>
      <c r="L102" s="741">
        <f>'Investic.projektai rajon.'!L34</f>
        <v>0</v>
      </c>
      <c r="M102" s="742">
        <f>'Investic.projektai rajon.'!M34</f>
        <v>10</v>
      </c>
      <c r="N102" s="736">
        <f>'Investic.projektai rajon.'!N34</f>
        <v>0</v>
      </c>
      <c r="O102" s="736">
        <f>'Investic.projektai rajon.'!O34</f>
        <v>0</v>
      </c>
      <c r="P102" s="736">
        <f>'Investic.projektai rajon.'!P34</f>
        <v>0</v>
      </c>
      <c r="Q102" s="1001">
        <f t="shared" si="14"/>
        <v>1501.4</v>
      </c>
    </row>
    <row r="103" spans="1:17" s="887" customFormat="1" ht="33.75" customHeight="1">
      <c r="A103" s="27" t="s">
        <v>77</v>
      </c>
      <c r="B103" s="685" t="str">
        <f>'Investic.projektai rajon.'!B48</f>
        <v>Vandens gerinimo įrenginių statyba Endriejave, Agluonėnuose</v>
      </c>
      <c r="C103" s="738">
        <f>'Investic.projektai rajon.'!C48</f>
        <v>430.29999999999995</v>
      </c>
      <c r="D103" s="739">
        <f>'Investic.projektai rajon.'!D48</f>
        <v>10.2</v>
      </c>
      <c r="E103" s="740">
        <f>'Investic.projektai rajon.'!E48</f>
        <v>87.3</v>
      </c>
      <c r="F103" s="740">
        <f>'Investic.projektai rajon.'!F48</f>
        <v>304.29999999999995</v>
      </c>
      <c r="G103" s="741">
        <f>'Investic.projektai rajon.'!G48</f>
        <v>1822.7</v>
      </c>
      <c r="H103" s="742">
        <f>'Investic.projektai rajon.'!H48</f>
        <v>2224.5</v>
      </c>
      <c r="I103" s="739">
        <f>'Investic.projektai rajon.'!I48</f>
        <v>0</v>
      </c>
      <c r="J103" s="740">
        <f>'Investic.projektai rajon.'!J48</f>
        <v>0</v>
      </c>
      <c r="K103" s="740">
        <f>'Investic.projektai rajon.'!K48</f>
        <v>0</v>
      </c>
      <c r="L103" s="741">
        <f>'Investic.projektai rajon.'!L48</f>
        <v>143.7</v>
      </c>
      <c r="M103" s="742">
        <f>'Investic.projektai rajon.'!M48</f>
        <v>143.7</v>
      </c>
      <c r="N103" s="736">
        <f>'Investic.projektai rajon.'!N48</f>
        <v>0</v>
      </c>
      <c r="O103" s="736">
        <f>'Investic.projektai rajon.'!O48</f>
        <v>0</v>
      </c>
      <c r="P103" s="736">
        <f>'Investic.projektai rajon.'!P48</f>
        <v>0</v>
      </c>
      <c r="Q103" s="1001">
        <f t="shared" si="14"/>
        <v>2368.2</v>
      </c>
    </row>
    <row r="104" spans="1:17" ht="28.5" customHeight="1">
      <c r="A104" s="27" t="s">
        <v>78</v>
      </c>
      <c r="B104" s="685" t="str">
        <f>Tinklai!B34</f>
        <v>Vandentiekio ir nuotekų tinklų plėtra Klaipėdos rajone atskirų vartortojų prijungimui</v>
      </c>
      <c r="C104" s="738">
        <f>Tinklai!J34</f>
        <v>0</v>
      </c>
      <c r="D104" s="739">
        <f>Tinklai!K34</f>
        <v>0</v>
      </c>
      <c r="E104" s="740">
        <f>Tinklai!L34</f>
        <v>0</v>
      </c>
      <c r="F104" s="740">
        <f>Tinklai!M34</f>
        <v>0</v>
      </c>
      <c r="G104" s="741">
        <f>Tinklai!N34</f>
        <v>0</v>
      </c>
      <c r="H104" s="742">
        <f>Tinklai!O34</f>
        <v>0</v>
      </c>
      <c r="I104" s="739">
        <f>Tinklai!P34</f>
        <v>0</v>
      </c>
      <c r="J104" s="740">
        <f>Tinklai!Q34</f>
        <v>0</v>
      </c>
      <c r="K104" s="740">
        <f>Tinklai!R34</f>
        <v>0</v>
      </c>
      <c r="L104" s="741">
        <f>Tinklai!S34</f>
        <v>500</v>
      </c>
      <c r="M104" s="742">
        <f>Tinklai!T34</f>
        <v>500</v>
      </c>
      <c r="N104" s="742">
        <f>Tinklai!U34</f>
        <v>800</v>
      </c>
      <c r="O104" s="742">
        <f>Tinklai!V34</f>
        <v>200</v>
      </c>
      <c r="P104" s="742">
        <f>Tinklai!W34</f>
        <v>0</v>
      </c>
      <c r="Q104" s="1001">
        <f t="shared" si="14"/>
        <v>1500</v>
      </c>
    </row>
    <row r="105" spans="1:17" ht="28.5" customHeight="1">
      <c r="A105" s="27" t="s">
        <v>79</v>
      </c>
      <c r="B105" s="685" t="str">
        <f>'Investic.projektai'!B101</f>
        <v>Geriamojo vandens ruošimo įrenginių Girkalių gyvenvietės vandenvietėje (Klaipėdos rajonas) statyba</v>
      </c>
      <c r="C105" s="738">
        <f>'Investic.projektai'!C101</f>
        <v>0</v>
      </c>
      <c r="D105" s="739">
        <f>'Investic.projektai'!D101</f>
        <v>0</v>
      </c>
      <c r="E105" s="740">
        <f>'Investic.projektai'!E101</f>
        <v>0</v>
      </c>
      <c r="F105" s="740">
        <f>'Investic.projektai'!F101</f>
        <v>0</v>
      </c>
      <c r="G105" s="741">
        <f>'Investic.projektai'!G101</f>
        <v>402</v>
      </c>
      <c r="H105" s="742">
        <f>'Investic.projektai'!H101</f>
        <v>402</v>
      </c>
      <c r="I105" s="739">
        <f>'Investic.projektai'!I101</f>
        <v>0</v>
      </c>
      <c r="J105" s="740">
        <f>'Investic.projektai'!J101</f>
        <v>403</v>
      </c>
      <c r="K105" s="740">
        <f>'Investic.projektai'!K101</f>
        <v>0</v>
      </c>
      <c r="L105" s="741">
        <f>'Investic.projektai'!L101</f>
        <v>0</v>
      </c>
      <c r="M105" s="742">
        <f>'Investic.projektai'!M101</f>
        <v>403</v>
      </c>
      <c r="N105" s="742">
        <f>'Investic.projektai'!N101</f>
        <v>0</v>
      </c>
      <c r="O105" s="742">
        <f>'Investic.projektai'!O101</f>
        <v>0</v>
      </c>
      <c r="P105" s="742">
        <f>'Investic.projektai'!P101</f>
        <v>0</v>
      </c>
      <c r="Q105" s="1001">
        <f t="shared" si="14"/>
        <v>805</v>
      </c>
    </row>
    <row r="106" spans="1:17" ht="18.75" customHeight="1">
      <c r="A106" s="27" t="s">
        <v>573</v>
      </c>
      <c r="B106" s="684" t="str">
        <f>Tinklai!B35</f>
        <v>Vandentiekio ir nuotekų tinklų plėtra Gargžduose</v>
      </c>
      <c r="C106" s="738">
        <f>Tinklai!J35</f>
        <v>0</v>
      </c>
      <c r="D106" s="739">
        <f>Tinklai!K35</f>
        <v>0</v>
      </c>
      <c r="E106" s="740">
        <f>Tinklai!L35</f>
        <v>0</v>
      </c>
      <c r="F106" s="740">
        <f>Tinklai!M35</f>
        <v>0</v>
      </c>
      <c r="G106" s="741">
        <f>Tinklai!N35</f>
        <v>0</v>
      </c>
      <c r="H106" s="742">
        <f>Tinklai!O35</f>
        <v>0</v>
      </c>
      <c r="I106" s="739">
        <f>Tinklai!P35</f>
        <v>0</v>
      </c>
      <c r="J106" s="740">
        <f>Tinklai!Q35</f>
        <v>110</v>
      </c>
      <c r="K106" s="740">
        <f>Tinklai!R35</f>
        <v>150</v>
      </c>
      <c r="L106" s="741">
        <f>Tinklai!S35</f>
        <v>140</v>
      </c>
      <c r="M106" s="742">
        <f>Tinklai!T35</f>
        <v>400</v>
      </c>
      <c r="N106" s="742">
        <f>Tinklai!U35</f>
        <v>100</v>
      </c>
      <c r="O106" s="742">
        <f>Tinklai!V35</f>
        <v>100</v>
      </c>
      <c r="P106" s="742">
        <f>Tinklai!W35</f>
        <v>200</v>
      </c>
      <c r="Q106" s="1001">
        <f t="shared" si="14"/>
        <v>800</v>
      </c>
    </row>
    <row r="107" spans="1:17" ht="18.75" customHeight="1">
      <c r="A107" s="27" t="s">
        <v>574</v>
      </c>
      <c r="B107" s="684" t="str">
        <f>Tinklai!B36</f>
        <v>Vandentiekio ir nuotekų tinklų plėtra Priekulėje</v>
      </c>
      <c r="C107" s="738">
        <f>Tinklai!J36</f>
        <v>0</v>
      </c>
      <c r="D107" s="739">
        <f>Tinklai!K36</f>
        <v>0</v>
      </c>
      <c r="E107" s="740">
        <f>Tinklai!L36</f>
        <v>0</v>
      </c>
      <c r="F107" s="740">
        <f>Tinklai!M36</f>
        <v>0</v>
      </c>
      <c r="G107" s="741">
        <f>Tinklai!N36</f>
        <v>50</v>
      </c>
      <c r="H107" s="742">
        <f>Tinklai!O36</f>
        <v>50</v>
      </c>
      <c r="I107" s="739">
        <f>Tinklai!P36</f>
        <v>0</v>
      </c>
      <c r="J107" s="740">
        <f>Tinklai!Q36</f>
        <v>50</v>
      </c>
      <c r="K107" s="740">
        <f>Tinklai!R36</f>
        <v>0</v>
      </c>
      <c r="L107" s="741">
        <f>Tinklai!S36</f>
        <v>0</v>
      </c>
      <c r="M107" s="742">
        <f>Tinklai!T36</f>
        <v>50</v>
      </c>
      <c r="N107" s="742">
        <f>Tinklai!U36</f>
        <v>50</v>
      </c>
      <c r="O107" s="742">
        <f>Tinklai!V36</f>
        <v>50</v>
      </c>
      <c r="P107" s="742">
        <f>Tinklai!W36</f>
        <v>50</v>
      </c>
      <c r="Q107" s="1001">
        <f t="shared" si="14"/>
        <v>250</v>
      </c>
    </row>
    <row r="108" spans="1:17" ht="18.75" customHeight="1" hidden="1">
      <c r="A108" s="27" t="s">
        <v>575</v>
      </c>
      <c r="B108" s="26"/>
      <c r="C108" s="738"/>
      <c r="D108" s="739"/>
      <c r="E108" s="740"/>
      <c r="F108" s="740"/>
      <c r="G108" s="741"/>
      <c r="H108" s="742">
        <f>SUM(D108:G108)</f>
        <v>0</v>
      </c>
      <c r="I108" s="739"/>
      <c r="J108" s="740"/>
      <c r="K108" s="740"/>
      <c r="L108" s="741"/>
      <c r="M108" s="742">
        <f>SUM(I108:L108)</f>
        <v>0</v>
      </c>
      <c r="N108" s="742"/>
      <c r="O108" s="742"/>
      <c r="P108" s="742"/>
      <c r="Q108" s="1001">
        <f t="shared" si="14"/>
        <v>0</v>
      </c>
    </row>
    <row r="109" spans="1:17" ht="18.75" customHeight="1" hidden="1">
      <c r="A109" s="27" t="s">
        <v>576</v>
      </c>
      <c r="B109" s="26"/>
      <c r="C109" s="738"/>
      <c r="D109" s="739"/>
      <c r="E109" s="740"/>
      <c r="F109" s="740"/>
      <c r="G109" s="741"/>
      <c r="H109" s="742">
        <f>SUM(D109:G109)</f>
        <v>0</v>
      </c>
      <c r="I109" s="739"/>
      <c r="J109" s="740"/>
      <c r="K109" s="740"/>
      <c r="L109" s="741"/>
      <c r="M109" s="742">
        <f>SUM(I109:L109)</f>
        <v>0</v>
      </c>
      <c r="N109" s="742"/>
      <c r="O109" s="742"/>
      <c r="P109" s="742"/>
      <c r="Q109" s="1001">
        <f t="shared" si="14"/>
        <v>0</v>
      </c>
    </row>
    <row r="110" spans="1:17" ht="18.75" customHeight="1" hidden="1">
      <c r="A110" s="27" t="s">
        <v>577</v>
      </c>
      <c r="B110" s="26"/>
      <c r="C110" s="732"/>
      <c r="D110" s="733"/>
      <c r="E110" s="734"/>
      <c r="F110" s="734"/>
      <c r="G110" s="735"/>
      <c r="H110" s="736">
        <f>SUM(D110:G110)</f>
        <v>0</v>
      </c>
      <c r="I110" s="733"/>
      <c r="J110" s="734"/>
      <c r="K110" s="734"/>
      <c r="L110" s="735"/>
      <c r="M110" s="736">
        <f>SUM(I110:L110)</f>
        <v>0</v>
      </c>
      <c r="N110" s="736"/>
      <c r="O110" s="736"/>
      <c r="P110" s="736"/>
      <c r="Q110" s="1001">
        <f t="shared" si="14"/>
        <v>0</v>
      </c>
    </row>
    <row r="111" spans="1:17" ht="18.75" customHeight="1">
      <c r="A111" s="31" t="s">
        <v>50</v>
      </c>
      <c r="B111" s="25" t="s">
        <v>44</v>
      </c>
      <c r="C111" s="727">
        <f>SUM(C112:C119)</f>
        <v>56</v>
      </c>
      <c r="D111" s="728">
        <f aca="true" t="shared" si="17" ref="D111:P111">SUM(D112:D119)</f>
        <v>0</v>
      </c>
      <c r="E111" s="729">
        <f t="shared" si="17"/>
        <v>0</v>
      </c>
      <c r="F111" s="729">
        <f t="shared" si="17"/>
        <v>1045</v>
      </c>
      <c r="G111" s="730">
        <f t="shared" si="17"/>
        <v>150</v>
      </c>
      <c r="H111" s="731">
        <f t="shared" si="17"/>
        <v>1195</v>
      </c>
      <c r="I111" s="728">
        <f t="shared" si="17"/>
        <v>100</v>
      </c>
      <c r="J111" s="729">
        <f t="shared" si="17"/>
        <v>130</v>
      </c>
      <c r="K111" s="729">
        <f t="shared" si="17"/>
        <v>1235</v>
      </c>
      <c r="L111" s="730">
        <f t="shared" si="17"/>
        <v>425</v>
      </c>
      <c r="M111" s="731">
        <f t="shared" si="17"/>
        <v>1890</v>
      </c>
      <c r="N111" s="731">
        <f t="shared" si="17"/>
        <v>1900</v>
      </c>
      <c r="O111" s="731">
        <f t="shared" si="17"/>
        <v>2400</v>
      </c>
      <c r="P111" s="731">
        <f t="shared" si="17"/>
        <v>990</v>
      </c>
      <c r="Q111" s="1000">
        <f t="shared" si="14"/>
        <v>8375</v>
      </c>
    </row>
    <row r="112" spans="1:17" ht="18.75" customHeight="1">
      <c r="A112" s="28" t="s">
        <v>488</v>
      </c>
      <c r="B112" s="780" t="str">
        <f>Vandenruoša!B66</f>
        <v>Karklės vandenvietės vandens ruošykla</v>
      </c>
      <c r="C112" s="738">
        <f>Vandenruoša!J66</f>
        <v>0</v>
      </c>
      <c r="D112" s="739">
        <f>Vandenruoša!K66</f>
        <v>0</v>
      </c>
      <c r="E112" s="740">
        <f>Vandenruoša!L66</f>
        <v>0</v>
      </c>
      <c r="F112" s="740">
        <f>Vandenruoša!M66</f>
        <v>45</v>
      </c>
      <c r="G112" s="741">
        <f>Vandenruoša!N66</f>
        <v>0</v>
      </c>
      <c r="H112" s="742">
        <f>Vandenruoša!O66</f>
        <v>45</v>
      </c>
      <c r="I112" s="739">
        <f>Vandenruoša!P66</f>
        <v>0</v>
      </c>
      <c r="J112" s="740">
        <f>Vandenruoša!Q66</f>
        <v>30</v>
      </c>
      <c r="K112" s="740">
        <f>Vandenruoša!R66</f>
        <v>0</v>
      </c>
      <c r="L112" s="741">
        <f>Vandenruoša!S66</f>
        <v>150</v>
      </c>
      <c r="M112" s="742">
        <f>Vandenruoša!T66</f>
        <v>180</v>
      </c>
      <c r="N112" s="742">
        <f>Vandenruoša!U66</f>
        <v>0</v>
      </c>
      <c r="O112" s="742">
        <f>Vandenruoša!V66</f>
        <v>0</v>
      </c>
      <c r="P112" s="742">
        <f>Vandenruoša!W66</f>
        <v>0</v>
      </c>
      <c r="Q112" s="1001">
        <f t="shared" si="14"/>
        <v>225</v>
      </c>
    </row>
    <row r="113" spans="1:17" ht="18.75" customHeight="1">
      <c r="A113" s="28" t="s">
        <v>489</v>
      </c>
      <c r="B113" s="684" t="str">
        <f>Vandenruoša!B67</f>
        <v>Priekulės vandenvietė (naujos įkūrimas)</v>
      </c>
      <c r="C113" s="738">
        <f>Vandenruoša!J67</f>
        <v>56</v>
      </c>
      <c r="D113" s="739">
        <f>Vandenruoša!K67</f>
        <v>0</v>
      </c>
      <c r="E113" s="740">
        <f>Vandenruoša!L67</f>
        <v>0</v>
      </c>
      <c r="F113" s="740">
        <f>Vandenruoša!M67</f>
        <v>0</v>
      </c>
      <c r="G113" s="741">
        <f>Vandenruoša!N67</f>
        <v>0</v>
      </c>
      <c r="H113" s="742">
        <f>Vandenruoša!O67</f>
        <v>0</v>
      </c>
      <c r="I113" s="739">
        <f>Vandenruoša!P67</f>
        <v>0</v>
      </c>
      <c r="J113" s="740">
        <f>Vandenruoša!Q67</f>
        <v>0</v>
      </c>
      <c r="K113" s="740">
        <f>Vandenruoša!R67</f>
        <v>0</v>
      </c>
      <c r="L113" s="741">
        <f>Vandenruoša!S67</f>
        <v>0</v>
      </c>
      <c r="M113" s="742">
        <f>Vandenruoša!T67</f>
        <v>0</v>
      </c>
      <c r="N113" s="742">
        <f>Vandenruoša!U67</f>
        <v>700</v>
      </c>
      <c r="O113" s="742">
        <f>Vandenruoša!V67</f>
        <v>1200</v>
      </c>
      <c r="P113" s="742">
        <f>Vandenruoša!W67</f>
        <v>0</v>
      </c>
      <c r="Q113" s="1001">
        <f t="shared" si="14"/>
        <v>1900</v>
      </c>
    </row>
    <row r="114" spans="1:17" ht="18.75" customHeight="1">
      <c r="A114" s="28" t="s">
        <v>490</v>
      </c>
      <c r="B114" s="684" t="str">
        <f>Vandenruoša!B65</f>
        <v>Vandenviečių automatizavimas</v>
      </c>
      <c r="C114" s="738">
        <f>Vandenruoša!J65</f>
        <v>0</v>
      </c>
      <c r="D114" s="739">
        <f>Vandenruoša!K65</f>
        <v>0</v>
      </c>
      <c r="E114" s="740">
        <f>Vandenruoša!L65</f>
        <v>0</v>
      </c>
      <c r="F114" s="740">
        <f>Vandenruoša!M65</f>
        <v>0</v>
      </c>
      <c r="G114" s="741">
        <f>Vandenruoša!N65</f>
        <v>100</v>
      </c>
      <c r="H114" s="742">
        <f>Vandenruoša!O65</f>
        <v>100</v>
      </c>
      <c r="I114" s="739">
        <f>Vandenruoša!P65</f>
        <v>0</v>
      </c>
      <c r="J114" s="740">
        <f>Vandenruoša!Q65</f>
        <v>0</v>
      </c>
      <c r="K114" s="740">
        <f>Vandenruoša!R65</f>
        <v>0</v>
      </c>
      <c r="L114" s="741">
        <f>Vandenruoša!S65</f>
        <v>75</v>
      </c>
      <c r="M114" s="742">
        <f>Vandenruoša!T65</f>
        <v>75</v>
      </c>
      <c r="N114" s="742">
        <f>Vandenruoša!U65</f>
        <v>75</v>
      </c>
      <c r="O114" s="742">
        <f>Vandenruoša!V65</f>
        <v>75</v>
      </c>
      <c r="P114" s="742">
        <f>Vandenruoša!W65</f>
        <v>0</v>
      </c>
      <c r="Q114" s="1001">
        <f t="shared" si="14"/>
        <v>325</v>
      </c>
    </row>
    <row r="115" spans="1:17" ht="18.75" customHeight="1">
      <c r="A115" s="28" t="s">
        <v>491</v>
      </c>
      <c r="B115" s="684" t="str">
        <f>Vandenruoša!B68</f>
        <v>Vandens ruošyklos (9 vnt.)</v>
      </c>
      <c r="C115" s="738">
        <f>Vandenruoša!J68</f>
        <v>0</v>
      </c>
      <c r="D115" s="739">
        <f>Vandenruoša!K68</f>
        <v>0</v>
      </c>
      <c r="E115" s="740">
        <f>Vandenruoša!L68</f>
        <v>0</v>
      </c>
      <c r="F115" s="740">
        <f>Vandenruoša!M68</f>
        <v>0</v>
      </c>
      <c r="G115" s="741">
        <f>Vandenruoša!N68</f>
        <v>0</v>
      </c>
      <c r="H115" s="742">
        <f>Vandenruoša!O68</f>
        <v>0</v>
      </c>
      <c r="I115" s="739">
        <f>Vandenruoša!P68</f>
        <v>0</v>
      </c>
      <c r="J115" s="740">
        <f>Vandenruoša!Q68</f>
        <v>0</v>
      </c>
      <c r="K115" s="740">
        <f>Vandenruoša!R68</f>
        <v>135</v>
      </c>
      <c r="L115" s="741">
        <f>Vandenruoša!S68</f>
        <v>0</v>
      </c>
      <c r="M115" s="742">
        <f>Vandenruoša!T68</f>
        <v>135</v>
      </c>
      <c r="N115" s="742">
        <f>Vandenruoša!U68</f>
        <v>675</v>
      </c>
      <c r="O115" s="742">
        <f>Vandenruoša!V68</f>
        <v>675</v>
      </c>
      <c r="P115" s="742">
        <f>Vandenruoša!W68</f>
        <v>540</v>
      </c>
      <c r="Q115" s="1001">
        <f t="shared" si="14"/>
        <v>2025</v>
      </c>
    </row>
    <row r="116" spans="1:17" ht="18.75" customHeight="1">
      <c r="A116" s="28" t="s">
        <v>500</v>
      </c>
      <c r="B116" s="781" t="str">
        <f>Ukis!B62</f>
        <v>Objektų valdymo automatizavimas</v>
      </c>
      <c r="C116" s="738">
        <f>Ukis!C62</f>
        <v>0</v>
      </c>
      <c r="D116" s="739">
        <f>Ukis!D62</f>
        <v>0</v>
      </c>
      <c r="E116" s="740">
        <f>Ukis!E62</f>
        <v>0</v>
      </c>
      <c r="F116" s="740">
        <f>Ukis!F62</f>
        <v>1000</v>
      </c>
      <c r="G116" s="741">
        <f>Ukis!G62</f>
        <v>50</v>
      </c>
      <c r="H116" s="742">
        <f>Ukis!H62</f>
        <v>1050</v>
      </c>
      <c r="I116" s="739">
        <f>Ukis!I62</f>
        <v>0</v>
      </c>
      <c r="J116" s="740">
        <f>Ukis!J62</f>
        <v>0</v>
      </c>
      <c r="K116" s="740">
        <f>Ukis!K62</f>
        <v>1000</v>
      </c>
      <c r="L116" s="741">
        <f>Ukis!L62</f>
        <v>100</v>
      </c>
      <c r="M116" s="742">
        <f>Ukis!M62</f>
        <v>1100</v>
      </c>
      <c r="N116" s="742">
        <f>Ukis!N62</f>
        <v>50</v>
      </c>
      <c r="O116" s="742">
        <f>Ukis!O62</f>
        <v>50</v>
      </c>
      <c r="P116" s="742">
        <f>Ukis!P62</f>
        <v>50</v>
      </c>
      <c r="Q116" s="1001">
        <f t="shared" si="14"/>
        <v>2300</v>
      </c>
    </row>
    <row r="117" spans="1:17" ht="18.75" customHeight="1">
      <c r="A117" s="28" t="s">
        <v>505</v>
      </c>
      <c r="B117" s="684" t="str">
        <f>Nuotekos!B64</f>
        <v>Mažų nuotekų valyklų įrengimas Klaipėdos rajone</v>
      </c>
      <c r="C117" s="732">
        <f>Nuotekos!C64</f>
        <v>0</v>
      </c>
      <c r="D117" s="733">
        <f>Nuotekos!D64</f>
        <v>0</v>
      </c>
      <c r="E117" s="740">
        <f>Nuotekos!E64</f>
        <v>0</v>
      </c>
      <c r="F117" s="740">
        <f>Nuotekos!F64</f>
        <v>0</v>
      </c>
      <c r="G117" s="741">
        <f>Nuotekos!G64</f>
        <v>0</v>
      </c>
      <c r="H117" s="742">
        <f>Nuotekos!H64</f>
        <v>0</v>
      </c>
      <c r="I117" s="739">
        <f>Nuotekos!I64</f>
        <v>100</v>
      </c>
      <c r="J117" s="740">
        <f>Nuotekos!J64</f>
        <v>100</v>
      </c>
      <c r="K117" s="740">
        <f>Nuotekos!K64</f>
        <v>100</v>
      </c>
      <c r="L117" s="741">
        <f>Nuotekos!L64</f>
        <v>100</v>
      </c>
      <c r="M117" s="742">
        <f>Nuotekos!M64</f>
        <v>400</v>
      </c>
      <c r="N117" s="742">
        <f>Nuotekos!N64</f>
        <v>400</v>
      </c>
      <c r="O117" s="742">
        <f>Nuotekos!O64</f>
        <v>400</v>
      </c>
      <c r="P117" s="742">
        <f>Nuotekos!P64</f>
        <v>400</v>
      </c>
      <c r="Q117" s="1001">
        <f t="shared" si="14"/>
        <v>1600</v>
      </c>
    </row>
    <row r="118" spans="1:17" ht="18.75" customHeight="1" hidden="1">
      <c r="A118" s="28"/>
      <c r="B118" s="679"/>
      <c r="C118" s="732"/>
      <c r="D118" s="733"/>
      <c r="E118" s="734"/>
      <c r="F118" s="734"/>
      <c r="G118" s="735"/>
      <c r="H118" s="736"/>
      <c r="I118" s="733"/>
      <c r="J118" s="734"/>
      <c r="K118" s="734"/>
      <c r="L118" s="735"/>
      <c r="M118" s="736"/>
      <c r="N118" s="736"/>
      <c r="O118" s="736"/>
      <c r="P118" s="736"/>
      <c r="Q118" s="1001">
        <f t="shared" si="14"/>
        <v>0</v>
      </c>
    </row>
    <row r="119" spans="1:17" ht="18.75" customHeight="1" hidden="1">
      <c r="A119" s="28"/>
      <c r="B119" s="26"/>
      <c r="C119" s="732"/>
      <c r="D119" s="733"/>
      <c r="E119" s="734"/>
      <c r="F119" s="734"/>
      <c r="G119" s="735"/>
      <c r="H119" s="736"/>
      <c r="I119" s="733"/>
      <c r="J119" s="734"/>
      <c r="K119" s="734"/>
      <c r="L119" s="735"/>
      <c r="M119" s="736"/>
      <c r="N119" s="736"/>
      <c r="O119" s="736"/>
      <c r="P119" s="736"/>
      <c r="Q119" s="1001">
        <f t="shared" si="14"/>
        <v>0</v>
      </c>
    </row>
    <row r="120" spans="1:17" ht="18.75" customHeight="1">
      <c r="A120" s="721" t="s">
        <v>51</v>
      </c>
      <c r="B120" s="678" t="s">
        <v>589</v>
      </c>
      <c r="C120" s="737">
        <f>SUM(C121:C137)</f>
        <v>0</v>
      </c>
      <c r="D120" s="728">
        <f aca="true" t="shared" si="18" ref="D120:P120">SUM(D121:D137)</f>
        <v>0</v>
      </c>
      <c r="E120" s="729">
        <f t="shared" si="18"/>
        <v>53</v>
      </c>
      <c r="F120" s="729">
        <f t="shared" si="18"/>
        <v>423</v>
      </c>
      <c r="G120" s="730">
        <f t="shared" si="18"/>
        <v>303</v>
      </c>
      <c r="H120" s="731">
        <f t="shared" si="18"/>
        <v>779</v>
      </c>
      <c r="I120" s="728">
        <f t="shared" si="18"/>
        <v>15</v>
      </c>
      <c r="J120" s="729">
        <f t="shared" si="18"/>
        <v>225</v>
      </c>
      <c r="K120" s="729">
        <f t="shared" si="18"/>
        <v>305</v>
      </c>
      <c r="L120" s="730">
        <f t="shared" si="18"/>
        <v>215</v>
      </c>
      <c r="M120" s="731">
        <f t="shared" si="18"/>
        <v>760</v>
      </c>
      <c r="N120" s="731">
        <f t="shared" si="18"/>
        <v>840</v>
      </c>
      <c r="O120" s="731">
        <f t="shared" si="18"/>
        <v>810</v>
      </c>
      <c r="P120" s="731">
        <f t="shared" si="18"/>
        <v>1190</v>
      </c>
      <c r="Q120" s="1000">
        <f t="shared" si="14"/>
        <v>4379</v>
      </c>
    </row>
    <row r="121" spans="1:17" ht="18.75" customHeight="1">
      <c r="A121" s="992" t="s">
        <v>492</v>
      </c>
      <c r="B121" s="993" t="str">
        <f>Vandenruoša!B59</f>
        <v>Vandenviečių bokštų ir gręžinių atnaujinimas </v>
      </c>
      <c r="C121" s="986">
        <f>Vandenruoša!J59</f>
        <v>0</v>
      </c>
      <c r="D121" s="987">
        <f>Vandenruoša!K59</f>
        <v>0</v>
      </c>
      <c r="E121" s="984">
        <f>Vandenruoša!L59</f>
        <v>0</v>
      </c>
      <c r="F121" s="984">
        <f>Vandenruoša!M59</f>
        <v>0</v>
      </c>
      <c r="G121" s="985">
        <f>Vandenruoša!N59</f>
        <v>120</v>
      </c>
      <c r="H121" s="986">
        <f>Vandenruoša!O59</f>
        <v>120</v>
      </c>
      <c r="I121" s="987">
        <f>Vandenruoša!P59</f>
        <v>0</v>
      </c>
      <c r="J121" s="984">
        <f>Vandenruoša!Q59</f>
        <v>90</v>
      </c>
      <c r="K121" s="984">
        <f>Vandenruoša!R59</f>
        <v>0</v>
      </c>
      <c r="L121" s="985">
        <f>Vandenruoša!S59</f>
        <v>90</v>
      </c>
      <c r="M121" s="986">
        <f>Vandenruoša!T59</f>
        <v>180</v>
      </c>
      <c r="N121" s="988">
        <f>Vandenruoša!U59</f>
        <v>180</v>
      </c>
      <c r="O121" s="988">
        <f>Vandenruoša!V59</f>
        <v>180</v>
      </c>
      <c r="P121" s="988">
        <f>Vandenruoša!W59</f>
        <v>90</v>
      </c>
      <c r="Q121" s="1002">
        <f t="shared" si="14"/>
        <v>750</v>
      </c>
    </row>
    <row r="122" spans="1:17" ht="26.25" customHeight="1">
      <c r="A122" s="959" t="s">
        <v>493</v>
      </c>
      <c r="B122" s="773" t="str">
        <f>Tinklai!B43</f>
        <v>Vandentiekio ir nuotekų tinkų atstatymas Gargžduose</v>
      </c>
      <c r="C122" s="774">
        <f>Tinklai!J43</f>
        <v>0</v>
      </c>
      <c r="D122" s="775">
        <f>Tinklai!K43</f>
        <v>0</v>
      </c>
      <c r="E122" s="984">
        <f>Tinklai!L43</f>
        <v>50</v>
      </c>
      <c r="F122" s="984">
        <f>Tinklai!M43</f>
        <v>200</v>
      </c>
      <c r="G122" s="985">
        <f>Tinklai!N43</f>
        <v>150</v>
      </c>
      <c r="H122" s="986">
        <f>Tinklai!O43</f>
        <v>400</v>
      </c>
      <c r="I122" s="987">
        <f>Tinklai!P43</f>
        <v>0</v>
      </c>
      <c r="J122" s="984">
        <f>Tinklai!Q43</f>
        <v>40</v>
      </c>
      <c r="K122" s="984">
        <f>Tinklai!R43</f>
        <v>110</v>
      </c>
      <c r="L122" s="985">
        <f>Tinklai!S43</f>
        <v>110</v>
      </c>
      <c r="M122" s="986">
        <f>Tinklai!T43</f>
        <v>260</v>
      </c>
      <c r="N122" s="988">
        <f>Tinklai!U43</f>
        <v>330</v>
      </c>
      <c r="O122" s="988">
        <f>Tinklai!V43</f>
        <v>310</v>
      </c>
      <c r="P122" s="988">
        <f>Tinklai!W43</f>
        <v>370</v>
      </c>
      <c r="Q122" s="1001">
        <f t="shared" si="14"/>
        <v>1670</v>
      </c>
    </row>
    <row r="123" spans="1:17" ht="18.75" customHeight="1">
      <c r="A123" s="959" t="s">
        <v>494</v>
      </c>
      <c r="B123" s="777" t="str">
        <f>Tinklai!B44</f>
        <v>Smulkios įrangos atnaujinimas Gargžduose</v>
      </c>
      <c r="C123" s="774">
        <f>Tinklai!J44</f>
        <v>0</v>
      </c>
      <c r="D123" s="775">
        <f>Tinklai!K44</f>
        <v>0</v>
      </c>
      <c r="E123" s="984">
        <f>Tinklai!L44</f>
        <v>0</v>
      </c>
      <c r="F123" s="984">
        <f>Tinklai!M44</f>
        <v>50</v>
      </c>
      <c r="G123" s="985">
        <f>Tinklai!N44</f>
        <v>30</v>
      </c>
      <c r="H123" s="986">
        <f>Tinklai!O44</f>
        <v>80</v>
      </c>
      <c r="I123" s="987">
        <f>Tinklai!P44</f>
        <v>10</v>
      </c>
      <c r="J123" s="984">
        <f>Tinklai!Q44</f>
        <v>15</v>
      </c>
      <c r="K123" s="984">
        <f>Tinklai!R44</f>
        <v>15</v>
      </c>
      <c r="L123" s="985">
        <f>Tinklai!S44</f>
        <v>10</v>
      </c>
      <c r="M123" s="986">
        <f>Tinklai!T44</f>
        <v>50</v>
      </c>
      <c r="N123" s="988">
        <f>Tinklai!U44</f>
        <v>60</v>
      </c>
      <c r="O123" s="988">
        <f>Tinklai!V44</f>
        <v>50</v>
      </c>
      <c r="P123" s="988">
        <f>Tinklai!W44</f>
        <v>60</v>
      </c>
      <c r="Q123" s="1001">
        <f t="shared" si="14"/>
        <v>300</v>
      </c>
    </row>
    <row r="124" spans="1:17" ht="34.5" customHeight="1">
      <c r="A124" s="959" t="s">
        <v>495</v>
      </c>
      <c r="B124" s="773" t="str">
        <f>Tinklai!B45</f>
        <v>Sklendžių ir hidrantų atnaujinimas vandentiekio tinkluose Gargžduose(įskaitant siurblius)</v>
      </c>
      <c r="C124" s="776">
        <f>Tinklai!J45</f>
        <v>0</v>
      </c>
      <c r="D124" s="778">
        <f>Tinklai!K45</f>
        <v>0</v>
      </c>
      <c r="E124" s="989">
        <f>Tinklai!L45</f>
        <v>3</v>
      </c>
      <c r="F124" s="989">
        <f>Tinklai!M45</f>
        <v>3</v>
      </c>
      <c r="G124" s="990">
        <f>Tinklai!N45</f>
        <v>3</v>
      </c>
      <c r="H124" s="988">
        <f>Tinklai!O45</f>
        <v>9</v>
      </c>
      <c r="I124" s="991">
        <f>Tinklai!P45</f>
        <v>5</v>
      </c>
      <c r="J124" s="989">
        <f>Tinklai!Q45</f>
        <v>5</v>
      </c>
      <c r="K124" s="989">
        <f>Tinklai!R45</f>
        <v>5</v>
      </c>
      <c r="L124" s="990">
        <f>Tinklai!S45</f>
        <v>5</v>
      </c>
      <c r="M124" s="988">
        <f>Tinklai!T45</f>
        <v>20</v>
      </c>
      <c r="N124" s="988">
        <f>Tinklai!U45</f>
        <v>20</v>
      </c>
      <c r="O124" s="988">
        <f>Tinklai!V45</f>
        <v>20</v>
      </c>
      <c r="P124" s="988">
        <f>Tinklai!W45</f>
        <v>20</v>
      </c>
      <c r="Q124" s="1001">
        <f t="shared" si="14"/>
        <v>89</v>
      </c>
    </row>
    <row r="125" spans="1:17" ht="18.75" customHeight="1">
      <c r="A125" s="959" t="s">
        <v>496</v>
      </c>
      <c r="B125" s="777" t="s">
        <v>503</v>
      </c>
      <c r="C125" s="779">
        <f>Tinklai!J46+Nuotekos!C63</f>
        <v>0</v>
      </c>
      <c r="D125" s="778">
        <f>Tinklai!K46+Nuotekos!D63</f>
        <v>0</v>
      </c>
      <c r="E125" s="989">
        <f>Tinklai!L46+Nuotekos!E63</f>
        <v>0</v>
      </c>
      <c r="F125" s="989">
        <f>Tinklai!M46+Nuotekos!F63</f>
        <v>170</v>
      </c>
      <c r="G125" s="990">
        <f>Tinklai!N46+Nuotekos!G63</f>
        <v>0</v>
      </c>
      <c r="H125" s="988">
        <f>Tinklai!O46+Nuotekos!H63</f>
        <v>170</v>
      </c>
      <c r="I125" s="991">
        <f>Tinklai!P46+Nuotekos!I63</f>
        <v>0</v>
      </c>
      <c r="J125" s="989">
        <f>Tinklai!Q46+Nuotekos!J63</f>
        <v>0</v>
      </c>
      <c r="K125" s="989">
        <f>Tinklai!R46+Nuotekos!K63</f>
        <v>0</v>
      </c>
      <c r="L125" s="990">
        <f>Tinklai!S46+Nuotekos!L63</f>
        <v>0</v>
      </c>
      <c r="M125" s="988">
        <f>Tinklai!T46+Nuotekos!M63</f>
        <v>0</v>
      </c>
      <c r="N125" s="988">
        <f>Tinklai!U46+Nuotekos!N63</f>
        <v>0</v>
      </c>
      <c r="O125" s="988">
        <f>Tinklai!V46+Nuotekos!O63</f>
        <v>0</v>
      </c>
      <c r="P125" s="988">
        <f>Tinklai!W46+Nuotekos!P63</f>
        <v>0</v>
      </c>
      <c r="Q125" s="1001">
        <f t="shared" si="14"/>
        <v>170</v>
      </c>
    </row>
    <row r="126" spans="1:17" ht="27.75" customHeight="1">
      <c r="A126" s="959" t="s">
        <v>497</v>
      </c>
      <c r="B126" s="773" t="str">
        <f>Tinklai!B47</f>
        <v>Slėgio kėlimo stoties įrengimas ir bokšto rezervuaro remontas</v>
      </c>
      <c r="C126" s="776">
        <f>Tinklai!J47</f>
        <v>0</v>
      </c>
      <c r="D126" s="778">
        <f>Tinklai!K47</f>
        <v>0</v>
      </c>
      <c r="E126" s="989">
        <f>Tinklai!L47</f>
        <v>0</v>
      </c>
      <c r="F126" s="989">
        <f>Tinklai!M47</f>
        <v>0</v>
      </c>
      <c r="G126" s="990">
        <f>Tinklai!N47</f>
        <v>0</v>
      </c>
      <c r="H126" s="988">
        <f>Tinklai!O47</f>
        <v>0</v>
      </c>
      <c r="I126" s="991">
        <f>Tinklai!P47</f>
        <v>0</v>
      </c>
      <c r="J126" s="989">
        <f>Tinklai!Q47</f>
        <v>0</v>
      </c>
      <c r="K126" s="989">
        <f>Tinklai!R47</f>
        <v>0</v>
      </c>
      <c r="L126" s="990">
        <f>Tinklai!S47</f>
        <v>0</v>
      </c>
      <c r="M126" s="988">
        <f>Tinklai!T47</f>
        <v>0</v>
      </c>
      <c r="N126" s="988">
        <f>Tinklai!U47</f>
        <v>0</v>
      </c>
      <c r="O126" s="988">
        <f>Tinklai!V47</f>
        <v>0</v>
      </c>
      <c r="P126" s="988">
        <f>Tinklai!W47</f>
        <v>400</v>
      </c>
      <c r="Q126" s="1001">
        <f t="shared" si="14"/>
        <v>400</v>
      </c>
    </row>
    <row r="127" spans="1:17" ht="18.75" customHeight="1">
      <c r="A127" s="959" t="s">
        <v>498</v>
      </c>
      <c r="B127" s="777" t="str">
        <f>Tinklai!B48</f>
        <v>Laugalių vandenvietės gręžinių pergręžimas</v>
      </c>
      <c r="C127" s="776">
        <f>Tinklai!J48</f>
        <v>0</v>
      </c>
      <c r="D127" s="778">
        <f>Tinklai!K48</f>
        <v>0</v>
      </c>
      <c r="E127" s="989">
        <f>Tinklai!L48</f>
        <v>0</v>
      </c>
      <c r="F127" s="989">
        <f>Tinklai!M48</f>
        <v>0</v>
      </c>
      <c r="G127" s="990">
        <f>Tinklai!N48</f>
        <v>0</v>
      </c>
      <c r="H127" s="988">
        <f>Tinklai!O48</f>
        <v>0</v>
      </c>
      <c r="I127" s="991">
        <f>Tinklai!P48</f>
        <v>0</v>
      </c>
      <c r="J127" s="989">
        <f>Tinklai!Q48</f>
        <v>50</v>
      </c>
      <c r="K127" s="989">
        <f>Tinklai!R48</f>
        <v>150</v>
      </c>
      <c r="L127" s="990">
        <f>Tinklai!S48</f>
        <v>0</v>
      </c>
      <c r="M127" s="988">
        <f>Tinklai!T48</f>
        <v>200</v>
      </c>
      <c r="N127" s="988">
        <f>Tinklai!U48</f>
        <v>200</v>
      </c>
      <c r="O127" s="988">
        <f>Tinklai!V48</f>
        <v>200</v>
      </c>
      <c r="P127" s="988">
        <f>Tinklai!W48</f>
        <v>200</v>
      </c>
      <c r="Q127" s="1001">
        <f t="shared" si="14"/>
        <v>800</v>
      </c>
    </row>
    <row r="128" spans="1:17" ht="27.75" customHeight="1" thickBot="1">
      <c r="A128" s="959" t="s">
        <v>499</v>
      </c>
      <c r="B128" s="773" t="str">
        <f>Tinklai!B49</f>
        <v>Vandentiekio ir nuotekų tinkų atstatymas Priekulėje</v>
      </c>
      <c r="C128" s="776">
        <f>Tinklai!J49</f>
        <v>0</v>
      </c>
      <c r="D128" s="778">
        <f>Tinklai!K49</f>
        <v>0</v>
      </c>
      <c r="E128" s="989">
        <f>Tinklai!L49</f>
        <v>0</v>
      </c>
      <c r="F128" s="989">
        <f>Tinklai!M49</f>
        <v>0</v>
      </c>
      <c r="G128" s="990">
        <f>Tinklai!N49</f>
        <v>0</v>
      </c>
      <c r="H128" s="988">
        <f>Tinklai!O49</f>
        <v>0</v>
      </c>
      <c r="I128" s="991">
        <f>Tinklai!P49</f>
        <v>0</v>
      </c>
      <c r="J128" s="989">
        <f>Tinklai!Q49</f>
        <v>25</v>
      </c>
      <c r="K128" s="989">
        <f>Tinklai!R49</f>
        <v>25</v>
      </c>
      <c r="L128" s="990">
        <f>Tinklai!S49</f>
        <v>0</v>
      </c>
      <c r="M128" s="988">
        <f>Tinklai!T49</f>
        <v>50</v>
      </c>
      <c r="N128" s="988">
        <f>Tinklai!U49</f>
        <v>50</v>
      </c>
      <c r="O128" s="988">
        <f>Tinklai!V49</f>
        <v>50</v>
      </c>
      <c r="P128" s="1005">
        <f>Tinklai!W49</f>
        <v>50</v>
      </c>
      <c r="Q128" s="1003">
        <f t="shared" si="14"/>
        <v>200</v>
      </c>
    </row>
    <row r="129" spans="1:17" ht="18.75" customHeight="1" hidden="1">
      <c r="A129" s="748"/>
      <c r="B129" s="749"/>
      <c r="C129" s="749"/>
      <c r="D129" s="757"/>
      <c r="E129" s="687"/>
      <c r="F129" s="687"/>
      <c r="G129" s="758"/>
      <c r="H129" s="749"/>
      <c r="I129" s="757"/>
      <c r="J129" s="687"/>
      <c r="K129" s="687"/>
      <c r="L129" s="758"/>
      <c r="M129" s="749"/>
      <c r="N129" s="749"/>
      <c r="O129" s="749"/>
      <c r="P129" s="1004"/>
      <c r="Q129" s="983">
        <f t="shared" si="14"/>
        <v>0</v>
      </c>
    </row>
    <row r="130" spans="1:17" ht="18.75" customHeight="1" hidden="1">
      <c r="A130" s="748"/>
      <c r="B130" s="749"/>
      <c r="C130" s="749"/>
      <c r="D130" s="757"/>
      <c r="E130" s="687"/>
      <c r="F130" s="687"/>
      <c r="G130" s="758"/>
      <c r="H130" s="749"/>
      <c r="I130" s="757"/>
      <c r="J130" s="687"/>
      <c r="K130" s="687"/>
      <c r="L130" s="758"/>
      <c r="M130" s="749"/>
      <c r="N130" s="749"/>
      <c r="O130" s="749"/>
      <c r="P130" s="749"/>
      <c r="Q130" s="983">
        <f t="shared" si="14"/>
        <v>0</v>
      </c>
    </row>
    <row r="131" spans="1:17" ht="18.75" customHeight="1" hidden="1">
      <c r="A131" s="748"/>
      <c r="B131" s="749"/>
      <c r="C131" s="749"/>
      <c r="D131" s="757"/>
      <c r="E131" s="687"/>
      <c r="F131" s="687"/>
      <c r="G131" s="758"/>
      <c r="H131" s="749"/>
      <c r="I131" s="757"/>
      <c r="J131" s="687"/>
      <c r="K131" s="687"/>
      <c r="L131" s="758"/>
      <c r="M131" s="749"/>
      <c r="N131" s="749"/>
      <c r="O131" s="749"/>
      <c r="P131" s="749"/>
      <c r="Q131" s="983">
        <f t="shared" si="14"/>
        <v>0</v>
      </c>
    </row>
    <row r="132" spans="1:17" ht="18.75" customHeight="1" hidden="1">
      <c r="A132" s="748"/>
      <c r="B132" s="749"/>
      <c r="C132" s="749"/>
      <c r="D132" s="757"/>
      <c r="E132" s="687"/>
      <c r="F132" s="687"/>
      <c r="G132" s="758"/>
      <c r="H132" s="749"/>
      <c r="I132" s="757"/>
      <c r="J132" s="687"/>
      <c r="K132" s="687"/>
      <c r="L132" s="758"/>
      <c r="M132" s="749"/>
      <c r="N132" s="749"/>
      <c r="O132" s="749"/>
      <c r="P132" s="749"/>
      <c r="Q132" s="983">
        <f t="shared" si="14"/>
        <v>0</v>
      </c>
    </row>
    <row r="133" spans="1:17" ht="18.75" customHeight="1" hidden="1">
      <c r="A133" s="748"/>
      <c r="B133" s="749"/>
      <c r="C133" s="749"/>
      <c r="D133" s="757"/>
      <c r="E133" s="687"/>
      <c r="F133" s="687"/>
      <c r="G133" s="758"/>
      <c r="H133" s="749"/>
      <c r="I133" s="757"/>
      <c r="J133" s="687"/>
      <c r="K133" s="687"/>
      <c r="L133" s="758"/>
      <c r="M133" s="749"/>
      <c r="N133" s="749"/>
      <c r="O133" s="749"/>
      <c r="P133" s="749"/>
      <c r="Q133" s="983">
        <f t="shared" si="14"/>
        <v>0</v>
      </c>
    </row>
    <row r="134" spans="1:17" ht="18.75" customHeight="1" hidden="1">
      <c r="A134" s="750"/>
      <c r="B134" s="751"/>
      <c r="C134" s="751"/>
      <c r="D134" s="759"/>
      <c r="E134" s="29"/>
      <c r="F134" s="29"/>
      <c r="G134" s="760"/>
      <c r="H134" s="751"/>
      <c r="I134" s="759"/>
      <c r="J134" s="29"/>
      <c r="K134" s="29"/>
      <c r="L134" s="760"/>
      <c r="M134" s="751"/>
      <c r="N134" s="751"/>
      <c r="O134" s="751"/>
      <c r="P134" s="751"/>
      <c r="Q134" s="983">
        <f t="shared" si="14"/>
        <v>0</v>
      </c>
    </row>
    <row r="135" spans="1:17" ht="18.75" customHeight="1" hidden="1">
      <c r="A135" s="750"/>
      <c r="B135" s="751"/>
      <c r="C135" s="751"/>
      <c r="D135" s="759"/>
      <c r="E135" s="29"/>
      <c r="F135" s="29"/>
      <c r="G135" s="760"/>
      <c r="H135" s="751"/>
      <c r="I135" s="759"/>
      <c r="J135" s="29"/>
      <c r="K135" s="29"/>
      <c r="L135" s="760"/>
      <c r="M135" s="751"/>
      <c r="N135" s="751"/>
      <c r="O135" s="751"/>
      <c r="P135" s="751"/>
      <c r="Q135" s="983">
        <f t="shared" si="14"/>
        <v>0</v>
      </c>
    </row>
    <row r="136" spans="1:17" ht="18.75" customHeight="1" hidden="1">
      <c r="A136" s="750"/>
      <c r="B136" s="751"/>
      <c r="C136" s="751"/>
      <c r="D136" s="759"/>
      <c r="E136" s="29"/>
      <c r="F136" s="29"/>
      <c r="G136" s="760"/>
      <c r="H136" s="751"/>
      <c r="I136" s="759"/>
      <c r="J136" s="29"/>
      <c r="K136" s="29"/>
      <c r="L136" s="760"/>
      <c r="M136" s="751"/>
      <c r="N136" s="751"/>
      <c r="O136" s="751"/>
      <c r="P136" s="751"/>
      <c r="Q136" s="983">
        <f t="shared" si="14"/>
        <v>0</v>
      </c>
    </row>
    <row r="137" spans="1:17" ht="18.75" customHeight="1" hidden="1" thickBot="1">
      <c r="A137" s="752"/>
      <c r="B137" s="753"/>
      <c r="C137" s="753"/>
      <c r="D137" s="761"/>
      <c r="E137" s="762"/>
      <c r="F137" s="762"/>
      <c r="G137" s="763"/>
      <c r="H137" s="753"/>
      <c r="I137" s="761"/>
      <c r="J137" s="762"/>
      <c r="K137" s="762"/>
      <c r="L137" s="763"/>
      <c r="M137" s="753"/>
      <c r="N137" s="753"/>
      <c r="O137" s="753"/>
      <c r="P137" s="753"/>
      <c r="Q137" s="983">
        <f t="shared" si="14"/>
        <v>0</v>
      </c>
    </row>
    <row r="138" ht="12.75" customHeight="1">
      <c r="Q138" s="983">
        <f t="shared" si="14"/>
        <v>0</v>
      </c>
    </row>
    <row r="139" ht="12.75" customHeight="1">
      <c r="Q139" s="983">
        <f t="shared" si="14"/>
        <v>0</v>
      </c>
    </row>
    <row r="140" spans="1:13" s="316" customFormat="1" ht="12.75" customHeight="1">
      <c r="A140" s="313"/>
      <c r="B140" s="314" t="s">
        <v>580</v>
      </c>
      <c r="C140" s="314"/>
      <c r="D140" s="315"/>
      <c r="G140" s="315" t="s">
        <v>581</v>
      </c>
      <c r="H140" s="315"/>
      <c r="L140" s="315" t="s">
        <v>582</v>
      </c>
      <c r="M140" s="315"/>
    </row>
    <row r="141" spans="1:13" s="316" customFormat="1" ht="12.75" customHeight="1">
      <c r="A141" s="317"/>
      <c r="B141" s="318" t="s">
        <v>583</v>
      </c>
      <c r="C141" s="318"/>
      <c r="D141" s="319"/>
      <c r="G141" s="1014" t="s">
        <v>584</v>
      </c>
      <c r="H141" s="1014"/>
      <c r="L141" s="320" t="s">
        <v>585</v>
      </c>
      <c r="M141" s="320"/>
    </row>
  </sheetData>
  <sheetProtection/>
  <mergeCells count="10">
    <mergeCell ref="G141:H141"/>
    <mergeCell ref="A8:N8"/>
    <mergeCell ref="A9:N9"/>
    <mergeCell ref="C11:C12"/>
    <mergeCell ref="Q11:Q12"/>
    <mergeCell ref="D11:H11"/>
    <mergeCell ref="I11:M11"/>
    <mergeCell ref="N11:N12"/>
    <mergeCell ref="O11:O12"/>
    <mergeCell ref="P11:P12"/>
  </mergeCells>
  <printOptions/>
  <pageMargins left="0.8267716535433072" right="0.15748031496062992" top="0.4330708661417323" bottom="0.3937007874015748" header="0.1968503937007874" footer="0.15748031496062992"/>
  <pageSetup fitToHeight="2" horizontalDpi="600" verticalDpi="600" orientation="landscape" paperSize="9" scale="70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7.8515625" style="896" customWidth="1"/>
    <col min="2" max="2" width="38.8515625" style="896" customWidth="1"/>
    <col min="3" max="16384" width="9.140625" style="896" customWidth="1"/>
  </cols>
  <sheetData>
    <row r="2" ht="15.75">
      <c r="B2" s="898" t="s">
        <v>555</v>
      </c>
    </row>
    <row r="3" ht="13.5" thickBot="1"/>
    <row r="4" spans="1:16" s="897" customFormat="1" ht="15.75" customHeight="1" thickBot="1">
      <c r="A4" s="811" t="s">
        <v>1</v>
      </c>
      <c r="B4" s="812" t="s">
        <v>554</v>
      </c>
      <c r="C4" s="1042">
        <v>2012</v>
      </c>
      <c r="D4" s="1043"/>
      <c r="E4" s="1043"/>
      <c r="F4" s="1043"/>
      <c r="G4" s="1044"/>
      <c r="H4" s="1042">
        <v>2013</v>
      </c>
      <c r="I4" s="1043"/>
      <c r="J4" s="1043"/>
      <c r="K4" s="1043"/>
      <c r="L4" s="1044"/>
      <c r="M4" s="1045">
        <v>2014</v>
      </c>
      <c r="N4" s="1045">
        <v>2015</v>
      </c>
      <c r="O4" s="1047">
        <v>2016</v>
      </c>
      <c r="P4" s="1049" t="s">
        <v>12</v>
      </c>
    </row>
    <row r="5" spans="1:16" s="897" customFormat="1" ht="15.75" thickBot="1">
      <c r="A5" s="904" t="s">
        <v>5</v>
      </c>
      <c r="B5" s="899"/>
      <c r="C5" s="900" t="s">
        <v>8</v>
      </c>
      <c r="D5" s="901" t="s">
        <v>9</v>
      </c>
      <c r="E5" s="901" t="s">
        <v>10</v>
      </c>
      <c r="F5" s="902" t="s">
        <v>11</v>
      </c>
      <c r="G5" s="903" t="s">
        <v>12</v>
      </c>
      <c r="H5" s="900" t="s">
        <v>8</v>
      </c>
      <c r="I5" s="901" t="s">
        <v>9</v>
      </c>
      <c r="J5" s="901" t="s">
        <v>10</v>
      </c>
      <c r="K5" s="902" t="s">
        <v>11</v>
      </c>
      <c r="L5" s="903" t="s">
        <v>12</v>
      </c>
      <c r="M5" s="1051"/>
      <c r="N5" s="1051"/>
      <c r="O5" s="1052"/>
      <c r="P5" s="1050"/>
    </row>
    <row r="6" spans="1:16" s="897" customFormat="1" ht="15">
      <c r="A6" s="943"/>
      <c r="B6" s="944" t="s">
        <v>558</v>
      </c>
      <c r="C6" s="945">
        <f>SUM(C7:C20)</f>
        <v>0</v>
      </c>
      <c r="D6" s="946">
        <f aca="true" t="shared" si="0" ref="D6:O6">SUM(D7:D20)</f>
        <v>2423.1000000000004</v>
      </c>
      <c r="E6" s="946">
        <f t="shared" si="0"/>
        <v>4769.4</v>
      </c>
      <c r="F6" s="946">
        <f t="shared" si="0"/>
        <v>4261.8</v>
      </c>
      <c r="G6" s="947">
        <f>SUM(C6:F6)</f>
        <v>11454.3</v>
      </c>
      <c r="H6" s="945">
        <f t="shared" si="0"/>
        <v>1167</v>
      </c>
      <c r="I6" s="946">
        <f t="shared" si="0"/>
        <v>1042.8</v>
      </c>
      <c r="J6" s="946">
        <f t="shared" si="0"/>
        <v>3586.3</v>
      </c>
      <c r="K6" s="946">
        <f t="shared" si="0"/>
        <v>650</v>
      </c>
      <c r="L6" s="947">
        <f>SUM(H6:K6)</f>
        <v>6446.1</v>
      </c>
      <c r="M6" s="948">
        <f t="shared" si="0"/>
        <v>0</v>
      </c>
      <c r="N6" s="949">
        <f t="shared" si="0"/>
        <v>0</v>
      </c>
      <c r="O6" s="948">
        <f t="shared" si="0"/>
        <v>0</v>
      </c>
      <c r="P6" s="950">
        <f>G6+L6+M6+N6+O6</f>
        <v>17900.4</v>
      </c>
    </row>
    <row r="7" spans="1:16" ht="25.5">
      <c r="A7" s="905"/>
      <c r="B7" s="906" t="s">
        <v>130</v>
      </c>
      <c r="C7" s="916"/>
      <c r="D7" s="917"/>
      <c r="E7" s="917"/>
      <c r="F7" s="917">
        <v>800</v>
      </c>
      <c r="G7" s="918">
        <f>SUM(C7:F7)</f>
        <v>800</v>
      </c>
      <c r="H7" s="916"/>
      <c r="I7" s="917"/>
      <c r="J7" s="917">
        <v>700</v>
      </c>
      <c r="K7" s="917"/>
      <c r="L7" s="918">
        <f>SUM(H7:K7)</f>
        <v>700</v>
      </c>
      <c r="M7" s="919"/>
      <c r="N7" s="920"/>
      <c r="O7" s="919"/>
      <c r="P7" s="926">
        <f>G7+L7+M7+N7+O7</f>
        <v>1500</v>
      </c>
    </row>
    <row r="8" spans="1:16" ht="25.5">
      <c r="A8" s="905"/>
      <c r="B8" s="906" t="s">
        <v>506</v>
      </c>
      <c r="C8" s="916"/>
      <c r="D8" s="917"/>
      <c r="E8" s="917"/>
      <c r="F8" s="917">
        <v>1100</v>
      </c>
      <c r="G8" s="918">
        <f>SUM(C8:F8)</f>
        <v>1100</v>
      </c>
      <c r="H8" s="916"/>
      <c r="I8" s="917"/>
      <c r="J8" s="917">
        <v>1100</v>
      </c>
      <c r="K8" s="917"/>
      <c r="L8" s="918">
        <f>SUM(H8:K8)</f>
        <v>1100</v>
      </c>
      <c r="M8" s="919"/>
      <c r="N8" s="920"/>
      <c r="O8" s="919"/>
      <c r="P8" s="926">
        <f aca="true" t="shared" si="1" ref="P8:P24">G8+L8+M8+N8+O8</f>
        <v>2200</v>
      </c>
    </row>
    <row r="9" spans="1:16" ht="38.25">
      <c r="A9" s="905"/>
      <c r="B9" s="906" t="s">
        <v>124</v>
      </c>
      <c r="C9" s="916"/>
      <c r="D9" s="917"/>
      <c r="E9" s="917">
        <v>1222</v>
      </c>
      <c r="F9" s="917"/>
      <c r="G9" s="918">
        <f>SUM(C9:F9)</f>
        <v>1222</v>
      </c>
      <c r="H9" s="916"/>
      <c r="I9" s="917"/>
      <c r="J9" s="917"/>
      <c r="K9" s="917"/>
      <c r="L9" s="918">
        <f>SUM(H9:K9)</f>
        <v>0</v>
      </c>
      <c r="M9" s="919"/>
      <c r="N9" s="920"/>
      <c r="O9" s="919"/>
      <c r="P9" s="926">
        <f t="shared" si="1"/>
        <v>1222</v>
      </c>
    </row>
    <row r="10" spans="1:16" ht="25.5">
      <c r="A10" s="905"/>
      <c r="B10" s="906" t="s">
        <v>298</v>
      </c>
      <c r="C10" s="916"/>
      <c r="D10" s="917">
        <v>1000</v>
      </c>
      <c r="E10" s="917">
        <v>1500</v>
      </c>
      <c r="F10" s="917">
        <v>500</v>
      </c>
      <c r="G10" s="918">
        <f>SUM(C10:F10)</f>
        <v>3000</v>
      </c>
      <c r="H10" s="916"/>
      <c r="I10" s="917"/>
      <c r="J10" s="917"/>
      <c r="K10" s="917"/>
      <c r="L10" s="918">
        <f aca="true" t="shared" si="2" ref="L10:L24">SUM(H10:K10)</f>
        <v>0</v>
      </c>
      <c r="M10" s="919"/>
      <c r="N10" s="920"/>
      <c r="O10" s="919"/>
      <c r="P10" s="926">
        <f t="shared" si="1"/>
        <v>3000</v>
      </c>
    </row>
    <row r="11" spans="1:16" ht="12.75">
      <c r="A11" s="905"/>
      <c r="B11" s="906" t="s">
        <v>323</v>
      </c>
      <c r="C11" s="916"/>
      <c r="D11" s="917"/>
      <c r="E11" s="917"/>
      <c r="F11" s="917"/>
      <c r="G11" s="918">
        <v>0</v>
      </c>
      <c r="H11" s="916"/>
      <c r="I11" s="917">
        <v>100</v>
      </c>
      <c r="J11" s="917">
        <v>250</v>
      </c>
      <c r="K11" s="917">
        <v>150</v>
      </c>
      <c r="L11" s="918">
        <f t="shared" si="2"/>
        <v>500</v>
      </c>
      <c r="M11" s="919"/>
      <c r="N11" s="920"/>
      <c r="O11" s="919"/>
      <c r="P11" s="926">
        <f t="shared" si="1"/>
        <v>500</v>
      </c>
    </row>
    <row r="12" spans="1:16" ht="25.5">
      <c r="A12" s="905"/>
      <c r="B12" s="906" t="s">
        <v>182</v>
      </c>
      <c r="C12" s="916"/>
      <c r="D12" s="917"/>
      <c r="E12" s="917"/>
      <c r="F12" s="917"/>
      <c r="G12" s="918">
        <v>0</v>
      </c>
      <c r="H12" s="916">
        <v>200</v>
      </c>
      <c r="I12" s="917">
        <v>230</v>
      </c>
      <c r="J12" s="917">
        <v>200</v>
      </c>
      <c r="K12" s="917">
        <v>300</v>
      </c>
      <c r="L12" s="918">
        <f t="shared" si="2"/>
        <v>930</v>
      </c>
      <c r="M12" s="919"/>
      <c r="N12" s="920"/>
      <c r="O12" s="919"/>
      <c r="P12" s="926">
        <f t="shared" si="1"/>
        <v>930</v>
      </c>
    </row>
    <row r="13" spans="1:16" ht="25.5">
      <c r="A13" s="905"/>
      <c r="B13" s="906" t="s">
        <v>502</v>
      </c>
      <c r="C13" s="916"/>
      <c r="D13" s="917"/>
      <c r="E13" s="917"/>
      <c r="F13" s="917"/>
      <c r="G13" s="918">
        <v>0</v>
      </c>
      <c r="H13" s="916">
        <v>100</v>
      </c>
      <c r="I13" s="917">
        <v>100</v>
      </c>
      <c r="J13" s="917">
        <v>100</v>
      </c>
      <c r="K13" s="917">
        <v>100</v>
      </c>
      <c r="L13" s="918">
        <f t="shared" si="2"/>
        <v>400</v>
      </c>
      <c r="M13" s="919"/>
      <c r="N13" s="920"/>
      <c r="O13" s="919"/>
      <c r="P13" s="926">
        <f t="shared" si="1"/>
        <v>400</v>
      </c>
    </row>
    <row r="14" spans="1:16" ht="16.5" customHeight="1">
      <c r="A14" s="905"/>
      <c r="B14" s="907" t="s">
        <v>556</v>
      </c>
      <c r="C14" s="937">
        <v>0</v>
      </c>
      <c r="D14" s="938">
        <v>0</v>
      </c>
      <c r="E14" s="938">
        <v>1000</v>
      </c>
      <c r="F14" s="938">
        <v>50</v>
      </c>
      <c r="G14" s="923">
        <f>SUM(C14:F14)</f>
        <v>1050</v>
      </c>
      <c r="H14" s="937">
        <v>0</v>
      </c>
      <c r="I14" s="938">
        <v>0</v>
      </c>
      <c r="J14" s="938">
        <v>1000</v>
      </c>
      <c r="K14" s="938">
        <v>100</v>
      </c>
      <c r="L14" s="923">
        <f>SUM(H14:K14)</f>
        <v>1100</v>
      </c>
      <c r="M14" s="939"/>
      <c r="N14" s="940"/>
      <c r="O14" s="939"/>
      <c r="P14" s="926">
        <f t="shared" si="1"/>
        <v>2150</v>
      </c>
    </row>
    <row r="15" spans="1:16" ht="24" customHeight="1">
      <c r="A15" s="982"/>
      <c r="B15" s="975" t="s">
        <v>126</v>
      </c>
      <c r="C15" s="976"/>
      <c r="D15" s="977"/>
      <c r="E15" s="977">
        <v>200</v>
      </c>
      <c r="F15" s="977">
        <v>210</v>
      </c>
      <c r="G15" s="978">
        <v>410</v>
      </c>
      <c r="H15" s="976"/>
      <c r="I15" s="977"/>
      <c r="J15" s="977"/>
      <c r="K15" s="977"/>
      <c r="L15" s="978">
        <v>0</v>
      </c>
      <c r="M15" s="979"/>
      <c r="N15" s="980"/>
      <c r="O15" s="979"/>
      <c r="P15" s="981"/>
    </row>
    <row r="16" spans="1:16" ht="16.5" customHeight="1">
      <c r="A16" s="982"/>
      <c r="B16" s="975" t="s">
        <v>162</v>
      </c>
      <c r="C16" s="976"/>
      <c r="D16" s="977"/>
      <c r="E16" s="977">
        <v>280</v>
      </c>
      <c r="F16" s="977"/>
      <c r="G16" s="978">
        <v>280</v>
      </c>
      <c r="H16" s="976"/>
      <c r="I16" s="977"/>
      <c r="J16" s="977"/>
      <c r="K16" s="977"/>
      <c r="L16" s="978">
        <v>0</v>
      </c>
      <c r="M16" s="979"/>
      <c r="N16" s="980"/>
      <c r="O16" s="979"/>
      <c r="P16" s="981"/>
    </row>
    <row r="17" spans="1:16" ht="31.5" customHeight="1">
      <c r="A17" s="982"/>
      <c r="B17" s="975" t="s">
        <v>204</v>
      </c>
      <c r="C17" s="976"/>
      <c r="D17" s="977">
        <v>100</v>
      </c>
      <c r="E17" s="977">
        <v>100</v>
      </c>
      <c r="F17" s="977">
        <v>139</v>
      </c>
      <c r="G17" s="978">
        <v>339</v>
      </c>
      <c r="H17" s="976"/>
      <c r="I17" s="977"/>
      <c r="J17" s="977"/>
      <c r="K17" s="977"/>
      <c r="L17" s="978">
        <v>0</v>
      </c>
      <c r="M17" s="979"/>
      <c r="N17" s="980"/>
      <c r="O17" s="979"/>
      <c r="P17" s="981"/>
    </row>
    <row r="18" spans="1:16" ht="16.5" customHeight="1">
      <c r="A18" s="982"/>
      <c r="B18" s="975" t="s">
        <v>279</v>
      </c>
      <c r="C18" s="976"/>
      <c r="D18" s="977"/>
      <c r="E18" s="977">
        <v>100</v>
      </c>
      <c r="F18" s="977">
        <v>200</v>
      </c>
      <c r="G18" s="978">
        <v>300</v>
      </c>
      <c r="H18" s="976"/>
      <c r="I18" s="977"/>
      <c r="J18" s="977"/>
      <c r="K18" s="977"/>
      <c r="L18" s="978">
        <v>0</v>
      </c>
      <c r="M18" s="979"/>
      <c r="N18" s="980"/>
      <c r="O18" s="979"/>
      <c r="P18" s="981"/>
    </row>
    <row r="19" spans="1:16" ht="16.5" customHeight="1">
      <c r="A19" s="982"/>
      <c r="B19" s="975" t="s">
        <v>365</v>
      </c>
      <c r="C19" s="976"/>
      <c r="D19" s="977">
        <v>230</v>
      </c>
      <c r="E19" s="977"/>
      <c r="F19" s="977"/>
      <c r="G19" s="978">
        <v>230</v>
      </c>
      <c r="H19" s="976"/>
      <c r="I19" s="977"/>
      <c r="J19" s="977"/>
      <c r="K19" s="977"/>
      <c r="L19" s="978">
        <v>0</v>
      </c>
      <c r="M19" s="979"/>
      <c r="N19" s="980"/>
      <c r="O19" s="979"/>
      <c r="P19" s="981"/>
    </row>
    <row r="20" spans="1:16" ht="25.5">
      <c r="A20" s="914"/>
      <c r="B20" s="915" t="s">
        <v>557</v>
      </c>
      <c r="C20" s="921">
        <f>SUM(C21:C24)</f>
        <v>0</v>
      </c>
      <c r="D20" s="922">
        <f aca="true" t="shared" si="3" ref="D20:O20">SUM(D21:D24)</f>
        <v>1093.1000000000001</v>
      </c>
      <c r="E20" s="922">
        <f t="shared" si="3"/>
        <v>367.4</v>
      </c>
      <c r="F20" s="922">
        <f t="shared" si="3"/>
        <v>1262.8</v>
      </c>
      <c r="G20" s="923">
        <f t="shared" si="3"/>
        <v>2723.3</v>
      </c>
      <c r="H20" s="921">
        <f t="shared" si="3"/>
        <v>867</v>
      </c>
      <c r="I20" s="922">
        <f t="shared" si="3"/>
        <v>612.8</v>
      </c>
      <c r="J20" s="922">
        <f t="shared" si="3"/>
        <v>236.3</v>
      </c>
      <c r="K20" s="922">
        <f t="shared" si="3"/>
        <v>0</v>
      </c>
      <c r="L20" s="923">
        <f t="shared" si="3"/>
        <v>1716.1</v>
      </c>
      <c r="M20" s="924">
        <f t="shared" si="3"/>
        <v>0</v>
      </c>
      <c r="N20" s="925">
        <f t="shared" si="3"/>
        <v>0</v>
      </c>
      <c r="O20" s="924">
        <f t="shared" si="3"/>
        <v>0</v>
      </c>
      <c r="P20" s="926">
        <f t="shared" si="1"/>
        <v>4439.4</v>
      </c>
    </row>
    <row r="21" spans="1:16" s="910" customFormat="1" ht="25.5">
      <c r="A21" s="908"/>
      <c r="B21" s="909" t="s">
        <v>520</v>
      </c>
      <c r="C21" s="927"/>
      <c r="D21" s="928">
        <f>'Investic.projektai'!E23+'Investic.projektai'!E25+'Investic.projektai'!E30+'Investic.projektai'!E32+'Investic.projektai'!E37+'Investic.projektai'!E39+'Investic.projektai'!E44+'Investic.projektai'!E46+'Investic.projektai'!E51+'Investic.projektai'!E53+'Investic.projektai'!E58+'Investic.projektai'!E60+'Investic.projektai'!E65+'Investic.projektai'!E67+'Investic.projektai'!E72+'Investic.projektai'!E74</f>
        <v>633.2</v>
      </c>
      <c r="E21" s="928">
        <f>'Investic.projektai'!F23+'Investic.projektai'!F25+'Investic.projektai'!F30+'Investic.projektai'!F32+'Investic.projektai'!F37+'Investic.projektai'!F39+'Investic.projektai'!F44+'Investic.projektai'!F46+'Investic.projektai'!F51+'Investic.projektai'!F53+'Investic.projektai'!F58+'Investic.projektai'!F60+'Investic.projektai'!F65+'Investic.projektai'!F67+'Investic.projektai'!F72+'Investic.projektai'!F74</f>
        <v>0</v>
      </c>
      <c r="F21" s="928">
        <f>'Investic.projektai'!G23+'Investic.projektai'!G25+'Investic.projektai'!G30+'Investic.projektai'!G32+'Investic.projektai'!G37+'Investic.projektai'!G39+'Investic.projektai'!G44+'Investic.projektai'!G46+'Investic.projektai'!G51+'Investic.projektai'!G53+'Investic.projektai'!G58+'Investic.projektai'!G60+'Investic.projektai'!G65+'Investic.projektai'!G67+'Investic.projektai'!G72+'Investic.projektai'!G74</f>
        <v>469.7</v>
      </c>
      <c r="G21" s="929">
        <f>SUM(C21:F21)</f>
        <v>1102.9</v>
      </c>
      <c r="H21" s="927">
        <f>'Investic.projektai'!I23+'Investic.projektai'!I25+'Investic.projektai'!I30+'Investic.projektai'!I32+'Investic.projektai'!I37+'Investic.projektai'!I39+'Investic.projektai'!I44+'Investic.projektai'!I46+'Investic.projektai'!I51+'Investic.projektai'!I53+'Investic.projektai'!I58+'Investic.projektai'!I60+'Investic.projektai'!I65+'Investic.projektai'!I67+'Investic.projektai'!I72+'Investic.projektai'!I74</f>
        <v>0</v>
      </c>
      <c r="I21" s="928">
        <f>'Investic.projektai'!J23+'Investic.projektai'!J25+'Investic.projektai'!J30+'Investic.projektai'!J32+'Investic.projektai'!J37+'Investic.projektai'!J39+'Investic.projektai'!J44+'Investic.projektai'!J46+'Investic.projektai'!J51+'Investic.projektai'!J53+'Investic.projektai'!J58+'Investic.projektai'!J60+'Investic.projektai'!J65+'Investic.projektai'!J67+'Investic.projektai'!J72+'Investic.projektai'!J74</f>
        <v>381</v>
      </c>
      <c r="J21" s="928">
        <f>'Investic.projektai'!K23+'Investic.projektai'!K25+'Investic.projektai'!K30+'Investic.projektai'!K32+'Investic.projektai'!K37+'Investic.projektai'!K39+'Investic.projektai'!K44+'Investic.projektai'!K46+'Investic.projektai'!K51+'Investic.projektai'!K53+'Investic.projektai'!K58+'Investic.projektai'!K60+'Investic.projektai'!K65+'Investic.projektai'!K67+'Investic.projektai'!K72+'Investic.projektai'!K74</f>
        <v>236.3</v>
      </c>
      <c r="K21" s="928">
        <f>'Investic.projektai'!L23+'Investic.projektai'!L25+'Investic.projektai'!L30+'Investic.projektai'!L32+'Investic.projektai'!L37+'Investic.projektai'!L39+'Investic.projektai'!L44+'Investic.projektai'!L46+'Investic.projektai'!L51+'Investic.projektai'!L53+'Investic.projektai'!L58+'Investic.projektai'!L60+'Investic.projektai'!L65+'Investic.projektai'!L67+'Investic.projektai'!L72+'Investic.projektai'!L74</f>
        <v>0</v>
      </c>
      <c r="L21" s="929">
        <f t="shared" si="2"/>
        <v>617.3</v>
      </c>
      <c r="M21" s="930"/>
      <c r="N21" s="931"/>
      <c r="O21" s="930"/>
      <c r="P21" s="941">
        <f t="shared" si="1"/>
        <v>1720.2</v>
      </c>
    </row>
    <row r="22" spans="1:16" s="910" customFormat="1" ht="13.5">
      <c r="A22" s="908"/>
      <c r="B22" s="911" t="s">
        <v>534</v>
      </c>
      <c r="C22" s="927"/>
      <c r="D22" s="928">
        <f>'Investic.projektai'!E80+'Investic.projektai'!E85+'Investic.projektai'!E90+'Investic.projektai'!E95</f>
        <v>263</v>
      </c>
      <c r="E22" s="928">
        <f>'Investic.projektai'!F80+'Investic.projektai'!F85+'Investic.projektai'!F90+'Investic.projektai'!F95</f>
        <v>202.39999999999998</v>
      </c>
      <c r="F22" s="928">
        <f>'Investic.projektai'!G80+'Investic.projektai'!G85+'Investic.projektai'!G90+'Investic.projektai'!G95</f>
        <v>196.79999999999998</v>
      </c>
      <c r="G22" s="929">
        <f>SUM(C22:F22)</f>
        <v>662.1999999999999</v>
      </c>
      <c r="H22" s="927">
        <f>'Investic.projektai'!I80+'Investic.projektai'!I85+'Investic.projektai'!I90+'Investic.projektai'!I95</f>
        <v>596.8</v>
      </c>
      <c r="I22" s="928">
        <f>'Investic.projektai'!J80+'Investic.projektai'!J85+'Investic.projektai'!J90+'Investic.projektai'!J95</f>
        <v>98.80000000000001</v>
      </c>
      <c r="J22" s="928">
        <f>'Investic.projektai'!K80+'Investic.projektai'!K85+'Investic.projektai'!K90+'Investic.projektai'!K95</f>
        <v>0</v>
      </c>
      <c r="K22" s="928">
        <f>'Investic.projektai'!L80+'Investic.projektai'!L85+'Investic.projektai'!L90+'Investic.projektai'!L95</f>
        <v>0</v>
      </c>
      <c r="L22" s="929">
        <f t="shared" si="2"/>
        <v>695.5999999999999</v>
      </c>
      <c r="M22" s="930"/>
      <c r="N22" s="931"/>
      <c r="O22" s="930"/>
      <c r="P22" s="941">
        <f t="shared" si="1"/>
        <v>1357.7999999999997</v>
      </c>
    </row>
    <row r="23" spans="1:16" s="910" customFormat="1" ht="13.5">
      <c r="A23" s="908"/>
      <c r="B23" s="911" t="s">
        <v>540</v>
      </c>
      <c r="C23" s="927"/>
      <c r="D23" s="928">
        <f>'Investic.projektai'!E100</f>
        <v>196.9</v>
      </c>
      <c r="E23" s="928">
        <f>'Investic.projektai'!F100</f>
        <v>165</v>
      </c>
      <c r="F23" s="928">
        <f>'Investic.projektai'!G100</f>
        <v>464.3</v>
      </c>
      <c r="G23" s="929">
        <f>SUM(C23:F23)</f>
        <v>826.2</v>
      </c>
      <c r="H23" s="927">
        <f>'Investic.projektai'!I100</f>
        <v>270.2</v>
      </c>
      <c r="I23" s="928">
        <f>'Investic.projektai'!J100</f>
        <v>0</v>
      </c>
      <c r="J23" s="928">
        <f>'Investic.projektai'!K100</f>
        <v>0</v>
      </c>
      <c r="K23" s="928">
        <f>'Investic.projektai'!L100</f>
        <v>0</v>
      </c>
      <c r="L23" s="929">
        <f t="shared" si="2"/>
        <v>270.2</v>
      </c>
      <c r="M23" s="930"/>
      <c r="N23" s="931"/>
      <c r="O23" s="930"/>
      <c r="P23" s="941">
        <f t="shared" si="1"/>
        <v>1096.4</v>
      </c>
    </row>
    <row r="24" spans="1:16" s="910" customFormat="1" ht="39" thickBot="1">
      <c r="A24" s="912"/>
      <c r="B24" s="913" t="s">
        <v>552</v>
      </c>
      <c r="C24" s="932"/>
      <c r="D24" s="933">
        <f>'Investic.projektai'!E105</f>
        <v>0</v>
      </c>
      <c r="E24" s="933">
        <f>'Investic.projektai'!F105</f>
        <v>0</v>
      </c>
      <c r="F24" s="933">
        <f>'Investic.projektai'!G105</f>
        <v>132</v>
      </c>
      <c r="G24" s="934">
        <f>SUM(C24:F24)</f>
        <v>132</v>
      </c>
      <c r="H24" s="932">
        <f>'Investic.projektai'!I105</f>
        <v>0</v>
      </c>
      <c r="I24" s="933">
        <f>'Investic.projektai'!J105</f>
        <v>133</v>
      </c>
      <c r="J24" s="933">
        <f>'Investic.projektai'!K105</f>
        <v>0</v>
      </c>
      <c r="K24" s="933">
        <f>'Investic.projektai'!L105</f>
        <v>0</v>
      </c>
      <c r="L24" s="934">
        <f t="shared" si="2"/>
        <v>133</v>
      </c>
      <c r="M24" s="935"/>
      <c r="N24" s="936"/>
      <c r="O24" s="935"/>
      <c r="P24" s="942">
        <f t="shared" si="1"/>
        <v>265</v>
      </c>
    </row>
    <row r="26" ht="13.5" thickBot="1"/>
    <row r="27" spans="1:16" ht="13.5" thickBot="1">
      <c r="A27" s="811" t="s">
        <v>1</v>
      </c>
      <c r="B27" s="812" t="s">
        <v>554</v>
      </c>
      <c r="C27" s="1042">
        <v>2012</v>
      </c>
      <c r="D27" s="1043"/>
      <c r="E27" s="1043"/>
      <c r="F27" s="1043"/>
      <c r="G27" s="1044"/>
      <c r="H27" s="1042">
        <v>2013</v>
      </c>
      <c r="I27" s="1043"/>
      <c r="J27" s="1043"/>
      <c r="K27" s="1043"/>
      <c r="L27" s="1044"/>
      <c r="M27" s="1045">
        <v>2014</v>
      </c>
      <c r="N27" s="1045">
        <v>2015</v>
      </c>
      <c r="O27" s="1047">
        <v>2016</v>
      </c>
      <c r="P27" s="1049" t="s">
        <v>12</v>
      </c>
    </row>
    <row r="28" spans="1:16" ht="13.5" thickBot="1">
      <c r="A28" s="904" t="s">
        <v>5</v>
      </c>
      <c r="B28" s="899"/>
      <c r="C28" s="900" t="s">
        <v>8</v>
      </c>
      <c r="D28" s="901" t="s">
        <v>9</v>
      </c>
      <c r="E28" s="901" t="s">
        <v>10</v>
      </c>
      <c r="F28" s="902" t="s">
        <v>11</v>
      </c>
      <c r="G28" s="903" t="s">
        <v>12</v>
      </c>
      <c r="H28" s="900" t="s">
        <v>8</v>
      </c>
      <c r="I28" s="901" t="s">
        <v>9</v>
      </c>
      <c r="J28" s="901" t="s">
        <v>10</v>
      </c>
      <c r="K28" s="902" t="s">
        <v>11</v>
      </c>
      <c r="L28" s="903" t="s">
        <v>12</v>
      </c>
      <c r="M28" s="1051"/>
      <c r="N28" s="1051"/>
      <c r="O28" s="1052"/>
      <c r="P28" s="1050"/>
    </row>
    <row r="29" spans="1:16" ht="12.75">
      <c r="A29" s="943"/>
      <c r="B29" s="944" t="s">
        <v>559</v>
      </c>
      <c r="C29" s="945"/>
      <c r="D29" s="946"/>
      <c r="E29" s="946"/>
      <c r="F29" s="946"/>
      <c r="G29" s="947"/>
      <c r="H29" s="945"/>
      <c r="I29" s="946"/>
      <c r="J29" s="946"/>
      <c r="K29" s="946"/>
      <c r="L29" s="947"/>
      <c r="M29" s="948">
        <f>P6/10</f>
        <v>1790.0400000000002</v>
      </c>
      <c r="N29" s="948">
        <f>P6/10</f>
        <v>1790.0400000000002</v>
      </c>
      <c r="O29" s="948">
        <f>P6/10</f>
        <v>1790.0400000000002</v>
      </c>
      <c r="P29" s="950">
        <f>G29+L29+M29+N29+O29</f>
        <v>5370.120000000001</v>
      </c>
    </row>
  </sheetData>
  <sheetProtection/>
  <mergeCells count="12">
    <mergeCell ref="M27:M28"/>
    <mergeCell ref="N27:N28"/>
    <mergeCell ref="O27:O28"/>
    <mergeCell ref="P27:P28"/>
    <mergeCell ref="C4:G4"/>
    <mergeCell ref="H4:L4"/>
    <mergeCell ref="M4:M5"/>
    <mergeCell ref="N4:N5"/>
    <mergeCell ref="O4:O5"/>
    <mergeCell ref="P4:P5"/>
    <mergeCell ref="C27:G27"/>
    <mergeCell ref="H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"/>
  <sheetViews>
    <sheetView showZeros="0" zoomScalePageLayoutView="0" workbookViewId="0" topLeftCell="A1">
      <pane xSplit="2" ySplit="5" topLeftCell="J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82" sqref="Q82"/>
    </sheetView>
  </sheetViews>
  <sheetFormatPr defaultColWidth="9.140625" defaultRowHeight="12.75" customHeight="1"/>
  <cols>
    <col min="1" max="1" width="11.57421875" style="200" customWidth="1"/>
    <col min="2" max="2" width="40.140625" style="34" customWidth="1"/>
    <col min="3" max="3" width="8.7109375" style="34" hidden="1" customWidth="1"/>
    <col min="4" max="4" width="13.57421875" style="194" hidden="1" customWidth="1"/>
    <col min="5" max="8" width="8.7109375" style="34" hidden="1" customWidth="1"/>
    <col min="9" max="9" width="12.7109375" style="34" hidden="1" customWidth="1"/>
    <col min="10" max="10" width="8.28125" style="34" customWidth="1"/>
    <col min="11" max="14" width="8.7109375" style="150" customWidth="1"/>
    <col min="15" max="15" width="10.8515625" style="34" customWidth="1"/>
    <col min="16" max="19" width="8.7109375" style="150" customWidth="1"/>
    <col min="20" max="20" width="10.8515625" style="34" customWidth="1"/>
    <col min="21" max="21" width="9.140625" style="34" customWidth="1"/>
    <col min="22" max="22" width="11.7109375" style="34" customWidth="1"/>
    <col min="23" max="23" width="9.140625" style="34" customWidth="1"/>
    <col min="24" max="24" width="10.140625" style="34" customWidth="1"/>
    <col min="25" max="25" width="24.8515625" style="34" customWidth="1"/>
    <col min="26" max="27" width="9.140625" style="34" customWidth="1"/>
    <col min="28" max="28" width="10.421875" style="34" customWidth="1"/>
    <col min="29" max="16384" width="9.140625" style="34" customWidth="1"/>
  </cols>
  <sheetData>
    <row r="1" spans="1:21" ht="12.75" customHeight="1">
      <c r="A1" s="1020" t="s">
        <v>41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</row>
    <row r="2" spans="1:21" ht="12.75" customHeight="1">
      <c r="A2" s="1020" t="s">
        <v>0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</row>
    <row r="3" spans="1:20" ht="12.75" customHeight="1" thickBot="1">
      <c r="A3" s="35"/>
      <c r="B3" s="36"/>
      <c r="C3" s="36"/>
      <c r="D3" s="37"/>
      <c r="E3" s="36"/>
      <c r="F3" s="36"/>
      <c r="G3" s="36"/>
      <c r="H3" s="36"/>
      <c r="I3" s="36"/>
      <c r="J3" s="36"/>
      <c r="K3" s="38"/>
      <c r="L3" s="38"/>
      <c r="M3" s="38"/>
      <c r="N3" s="38"/>
      <c r="O3" s="36"/>
      <c r="P3" s="38"/>
      <c r="Q3" s="38"/>
      <c r="R3" s="38"/>
      <c r="S3" s="38"/>
      <c r="T3" s="36"/>
    </row>
    <row r="4" spans="1:23" ht="18.75" customHeight="1" thickBot="1" thickTop="1">
      <c r="A4" s="39" t="s">
        <v>1</v>
      </c>
      <c r="B4" s="40" t="s">
        <v>2</v>
      </c>
      <c r="C4" s="1021" t="s">
        <v>3</v>
      </c>
      <c r="D4" s="41" t="s">
        <v>4</v>
      </c>
      <c r="E4" s="1023">
        <v>2009</v>
      </c>
      <c r="F4" s="1023"/>
      <c r="G4" s="1023"/>
      <c r="H4" s="1023"/>
      <c r="I4" s="1023"/>
      <c r="J4" s="1024" t="s">
        <v>42</v>
      </c>
      <c r="K4" s="1026">
        <v>2012</v>
      </c>
      <c r="L4" s="1023"/>
      <c r="M4" s="1023"/>
      <c r="N4" s="1023"/>
      <c r="O4" s="1027"/>
      <c r="P4" s="1026">
        <v>2013</v>
      </c>
      <c r="Q4" s="1023"/>
      <c r="R4" s="1023"/>
      <c r="S4" s="1023"/>
      <c r="T4" s="1027"/>
      <c r="U4" s="1018">
        <v>2014</v>
      </c>
      <c r="V4" s="1018">
        <v>2015</v>
      </c>
      <c r="W4" s="1018">
        <v>2016</v>
      </c>
    </row>
    <row r="5" spans="1:23" ht="32.25" customHeight="1" thickBot="1">
      <c r="A5" s="43" t="s">
        <v>5</v>
      </c>
      <c r="B5" s="44" t="s">
        <v>6</v>
      </c>
      <c r="C5" s="1022"/>
      <c r="D5" s="45" t="s">
        <v>7</v>
      </c>
      <c r="E5" s="46" t="s">
        <v>8</v>
      </c>
      <c r="F5" s="47" t="s">
        <v>9</v>
      </c>
      <c r="G5" s="47" t="s">
        <v>10</v>
      </c>
      <c r="H5" s="48" t="s">
        <v>11</v>
      </c>
      <c r="I5" s="42" t="s">
        <v>12</v>
      </c>
      <c r="J5" s="1025"/>
      <c r="K5" s="49" t="s">
        <v>8</v>
      </c>
      <c r="L5" s="50" t="s">
        <v>9</v>
      </c>
      <c r="M5" s="50" t="s">
        <v>10</v>
      </c>
      <c r="N5" s="51" t="s">
        <v>11</v>
      </c>
      <c r="O5" s="52" t="s">
        <v>12</v>
      </c>
      <c r="P5" s="49" t="s">
        <v>8</v>
      </c>
      <c r="Q5" s="50" t="s">
        <v>9</v>
      </c>
      <c r="R5" s="50" t="s">
        <v>10</v>
      </c>
      <c r="S5" s="51" t="s">
        <v>11</v>
      </c>
      <c r="T5" s="52" t="s">
        <v>12</v>
      </c>
      <c r="U5" s="1019"/>
      <c r="V5" s="1019"/>
      <c r="W5" s="1019"/>
    </row>
    <row r="6" spans="1:23" ht="12.75" customHeight="1" hidden="1">
      <c r="A6" s="53" t="s">
        <v>13</v>
      </c>
      <c r="B6" s="54" t="s">
        <v>14</v>
      </c>
      <c r="C6" s="55" t="e">
        <f>SUM(C7:C11,#REF!,#REF!)</f>
        <v>#REF!</v>
      </c>
      <c r="D6" s="56"/>
      <c r="E6" s="57" t="e">
        <f>SUM(E7:E11,#REF!,#REF!)</f>
        <v>#REF!</v>
      </c>
      <c r="F6" s="58" t="e">
        <f>SUM(F7:F11,#REF!,#REF!)</f>
        <v>#REF!</v>
      </c>
      <c r="G6" s="58" t="e">
        <f>SUM(G7:G11,#REF!,#REF!)</f>
        <v>#REF!</v>
      </c>
      <c r="H6" s="59" t="e">
        <f>SUM(H7:H11,#REF!,#REF!)</f>
        <v>#REF!</v>
      </c>
      <c r="I6" s="60"/>
      <c r="J6" s="61"/>
      <c r="K6" s="62">
        <f aca="true" t="shared" si="0" ref="K6:W6">SUM(K7:K11)</f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4">
        <f t="shared" si="0"/>
        <v>0</v>
      </c>
      <c r="P6" s="62">
        <f t="shared" si="0"/>
        <v>0</v>
      </c>
      <c r="Q6" s="63">
        <f t="shared" si="0"/>
        <v>0</v>
      </c>
      <c r="R6" s="63">
        <f t="shared" si="0"/>
        <v>0</v>
      </c>
      <c r="S6" s="65">
        <f t="shared" si="0"/>
        <v>0</v>
      </c>
      <c r="T6" s="64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</row>
    <row r="7" spans="1:23" s="36" customFormat="1" ht="12.75" customHeight="1" hidden="1">
      <c r="A7" s="67" t="s">
        <v>15</v>
      </c>
      <c r="B7" s="68" t="s">
        <v>16</v>
      </c>
      <c r="C7" s="69"/>
      <c r="D7" s="70"/>
      <c r="E7" s="71"/>
      <c r="F7" s="72"/>
      <c r="G7" s="72"/>
      <c r="H7" s="73">
        <v>2986.5</v>
      </c>
      <c r="I7" s="74"/>
      <c r="J7" s="75"/>
      <c r="K7" s="76"/>
      <c r="L7" s="77"/>
      <c r="M7" s="77"/>
      <c r="N7" s="78"/>
      <c r="O7" s="79">
        <f>SUM(K7:N7)</f>
        <v>0</v>
      </c>
      <c r="P7" s="76"/>
      <c r="Q7" s="77"/>
      <c r="R7" s="77"/>
      <c r="S7" s="78"/>
      <c r="T7" s="79">
        <f>SUM(P7:S7)</f>
        <v>0</v>
      </c>
      <c r="U7" s="80"/>
      <c r="V7" s="80"/>
      <c r="W7" s="80"/>
    </row>
    <row r="8" spans="1:23" s="36" customFormat="1" ht="12.75" customHeight="1" hidden="1">
      <c r="A8" s="67" t="s">
        <v>17</v>
      </c>
      <c r="B8" s="68" t="s">
        <v>18</v>
      </c>
      <c r="C8" s="69"/>
      <c r="D8" s="70"/>
      <c r="E8" s="71"/>
      <c r="F8" s="72"/>
      <c r="G8" s="72"/>
      <c r="H8" s="73">
        <v>2644.7</v>
      </c>
      <c r="I8" s="74"/>
      <c r="J8" s="75"/>
      <c r="K8" s="76"/>
      <c r="L8" s="77"/>
      <c r="M8" s="77"/>
      <c r="N8" s="78"/>
      <c r="O8" s="79">
        <f>SUM(K8:N8)</f>
        <v>0</v>
      </c>
      <c r="P8" s="76">
        <f>O13</f>
        <v>0</v>
      </c>
      <c r="Q8" s="77"/>
      <c r="R8" s="77"/>
      <c r="S8" s="78"/>
      <c r="T8" s="79">
        <f>SUM(P8:S8)</f>
        <v>0</v>
      </c>
      <c r="U8" s="80"/>
      <c r="V8" s="80"/>
      <c r="W8" s="80"/>
    </row>
    <row r="9" spans="1:23" s="36" customFormat="1" ht="12.75" customHeight="1" hidden="1">
      <c r="A9" s="67" t="s">
        <v>19</v>
      </c>
      <c r="B9" s="81" t="s">
        <v>20</v>
      </c>
      <c r="C9" s="82"/>
      <c r="D9" s="83"/>
      <c r="E9" s="71"/>
      <c r="F9" s="72"/>
      <c r="G9" s="72"/>
      <c r="H9" s="73"/>
      <c r="I9" s="74"/>
      <c r="J9" s="75"/>
      <c r="K9" s="76"/>
      <c r="L9" s="77"/>
      <c r="M9" s="77"/>
      <c r="N9" s="78"/>
      <c r="O9" s="79">
        <f>SUM(K9:N9)</f>
        <v>0</v>
      </c>
      <c r="P9" s="76"/>
      <c r="Q9" s="77"/>
      <c r="R9" s="77"/>
      <c r="S9" s="78"/>
      <c r="T9" s="79">
        <f>SUM(P9:S9)</f>
        <v>0</v>
      </c>
      <c r="U9" s="80"/>
      <c r="V9" s="80"/>
      <c r="W9" s="80"/>
    </row>
    <row r="10" spans="1:23" s="36" customFormat="1" ht="12.75" customHeight="1" hidden="1">
      <c r="A10" s="67" t="s">
        <v>21</v>
      </c>
      <c r="B10" s="81" t="s">
        <v>22</v>
      </c>
      <c r="C10" s="82"/>
      <c r="D10" s="83"/>
      <c r="E10" s="71"/>
      <c r="F10" s="72"/>
      <c r="G10" s="72"/>
      <c r="H10" s="73"/>
      <c r="I10" s="74"/>
      <c r="J10" s="75"/>
      <c r="K10" s="76"/>
      <c r="L10" s="77"/>
      <c r="M10" s="77"/>
      <c r="N10" s="78"/>
      <c r="O10" s="79">
        <f>SUM(K10:N10)</f>
        <v>0</v>
      </c>
      <c r="P10" s="76"/>
      <c r="Q10" s="77"/>
      <c r="R10" s="77"/>
      <c r="S10" s="78"/>
      <c r="T10" s="79">
        <f>SUM(P10:S10)</f>
        <v>0</v>
      </c>
      <c r="U10" s="80"/>
      <c r="V10" s="80"/>
      <c r="W10" s="80"/>
    </row>
    <row r="11" spans="1:23" s="36" customFormat="1" ht="12.75" customHeight="1" hidden="1" thickBot="1">
      <c r="A11" s="67" t="s">
        <v>23</v>
      </c>
      <c r="B11" s="81" t="s">
        <v>24</v>
      </c>
      <c r="C11" s="82"/>
      <c r="D11" s="83"/>
      <c r="E11" s="71"/>
      <c r="F11" s="72"/>
      <c r="G11" s="72"/>
      <c r="H11" s="73">
        <v>4800</v>
      </c>
      <c r="I11" s="74"/>
      <c r="J11" s="75"/>
      <c r="K11" s="84"/>
      <c r="L11" s="85"/>
      <c r="M11" s="85"/>
      <c r="N11" s="86"/>
      <c r="O11" s="79">
        <f>SUM(K11:N11)</f>
        <v>0</v>
      </c>
      <c r="P11" s="84"/>
      <c r="Q11" s="85"/>
      <c r="R11" s="85"/>
      <c r="S11" s="86"/>
      <c r="T11" s="79">
        <f>SUM(P11:S11)</f>
        <v>0</v>
      </c>
      <c r="U11" s="80"/>
      <c r="V11" s="80"/>
      <c r="W11" s="80"/>
    </row>
    <row r="12" spans="1:23" ht="12.75" customHeight="1" hidden="1" thickTop="1">
      <c r="A12" s="87" t="s">
        <v>25</v>
      </c>
      <c r="B12" s="88" t="s">
        <v>26</v>
      </c>
      <c r="C12" s="89"/>
      <c r="D12" s="90"/>
      <c r="E12" s="91"/>
      <c r="F12" s="92"/>
      <c r="G12" s="92"/>
      <c r="H12" s="92" t="e">
        <f>IF(H14-H6+G12-G13&gt;0,H14-H6+G12-G13,0)</f>
        <v>#REF!</v>
      </c>
      <c r="I12" s="93"/>
      <c r="J12" s="94"/>
      <c r="K12" s="95">
        <f>IF(K6-K14&lt;0,K6-K14,0)</f>
        <v>0</v>
      </c>
      <c r="L12" s="96">
        <f>IF(L6+K13+K12-L14&lt;0,L6+K13+K12-L14,0)</f>
        <v>0</v>
      </c>
      <c r="M12" s="96">
        <f>IF(M6+L13+L12-M14&lt;0,M6+L13+L12-M14,0)</f>
        <v>0</v>
      </c>
      <c r="N12" s="96">
        <f>IF(N6+M13+M12-N14&lt;0,N6+M13+M12-N14,0)</f>
        <v>0</v>
      </c>
      <c r="O12" s="97">
        <f>N12</f>
        <v>0</v>
      </c>
      <c r="P12" s="95">
        <f>IF(P6-P14&lt;0,P6-P14,0)</f>
        <v>0</v>
      </c>
      <c r="Q12" s="96">
        <f>IF(Q6+P13+P12-Q14&lt;0,Q6+P13+P12-Q14,0)</f>
        <v>0</v>
      </c>
      <c r="R12" s="96">
        <f>IF(R6+Q13+Q12-R14&lt;0,R6+Q13+Q12-R14,0)</f>
        <v>0</v>
      </c>
      <c r="S12" s="98">
        <f>IF(S6+R13+R12-S14&lt;0,S6+R13+R12-S14,0)</f>
        <v>0</v>
      </c>
      <c r="T12" s="99">
        <f>S12</f>
        <v>0</v>
      </c>
      <c r="U12" s="99" t="s">
        <v>27</v>
      </c>
      <c r="V12" s="99">
        <f>IF(V6-V14&lt;0,V6-V14,0)</f>
        <v>0</v>
      </c>
      <c r="W12" s="99">
        <f>IF(W6-W14&lt;0,W6-W14,0)</f>
        <v>0</v>
      </c>
    </row>
    <row r="13" spans="1:23" ht="12.75" customHeight="1" hidden="1" thickBot="1">
      <c r="A13" s="100" t="s">
        <v>28</v>
      </c>
      <c r="B13" s="101" t="s">
        <v>29</v>
      </c>
      <c r="C13" s="102"/>
      <c r="D13" s="103"/>
      <c r="E13" s="104" t="e">
        <f>IF(E6-E14&gt;0,E6-E14,0)</f>
        <v>#REF!</v>
      </c>
      <c r="F13" s="104" t="e">
        <f>IF(F6-F14-E12+E13&gt;0,F6-F14-E12+E13,0)</f>
        <v>#REF!</v>
      </c>
      <c r="G13" s="104" t="e">
        <f>IF(G6-G14-F12+F13&gt;0,G6-G14-F12+F13,0)</f>
        <v>#REF!</v>
      </c>
      <c r="H13" s="104" t="e">
        <f>IF(H6-H14-G12+G13&gt;0,H6-H14-G12+G13,0)</f>
        <v>#REF!</v>
      </c>
      <c r="I13" s="105" t="e">
        <f>H13</f>
        <v>#REF!</v>
      </c>
      <c r="J13" s="106"/>
      <c r="K13" s="107">
        <f>IF(K6-K14&gt;0,K6-K14,0)</f>
        <v>0</v>
      </c>
      <c r="L13" s="108">
        <f>IF(L6-L14+K12+K13&gt;0,L6-L14+K12+K13,0)</f>
        <v>0</v>
      </c>
      <c r="M13" s="108">
        <f>IF(M6-M14+L12+L13&gt;0,M6-M14+L12+L13,0)</f>
        <v>0</v>
      </c>
      <c r="N13" s="109">
        <f>IF(N6-N14+M12+M13&gt;0,N6-N14+M12+M13,0)</f>
        <v>0</v>
      </c>
      <c r="O13" s="110">
        <f>N13</f>
        <v>0</v>
      </c>
      <c r="P13" s="107">
        <f>IF(P6-P14&gt;0,P6-P14,0)</f>
        <v>0</v>
      </c>
      <c r="Q13" s="108">
        <f>IF(Q6-Q14+P12+P13&gt;0,Q6-Q14+P12+P13,0)</f>
        <v>0</v>
      </c>
      <c r="R13" s="108">
        <f>IF(R6-R14+Q12+Q13&gt;0,R6-R14+Q12+Q13,0)</f>
        <v>0</v>
      </c>
      <c r="S13" s="109">
        <f>IF(S6-S14+R12+R13&gt;0,S6-S14+R12+R13,0)</f>
        <v>0</v>
      </c>
      <c r="T13" s="111">
        <f>S13</f>
        <v>0</v>
      </c>
      <c r="U13" s="111">
        <f>IF(U6-U14&gt;0,U6-U14,0)</f>
        <v>0</v>
      </c>
      <c r="V13" s="111">
        <f>IF(V6-V14&gt;0,V6-V14,0)</f>
        <v>0</v>
      </c>
      <c r="W13" s="111">
        <f>IF(W6-W14&gt;0,W6-W14,0)</f>
        <v>0</v>
      </c>
    </row>
    <row r="14" spans="1:23" ht="16.5" customHeight="1">
      <c r="A14" s="112" t="s">
        <v>30</v>
      </c>
      <c r="B14" s="113" t="s">
        <v>31</v>
      </c>
      <c r="C14" s="114" t="e">
        <f>C15+#REF!</f>
        <v>#REF!</v>
      </c>
      <c r="D14" s="115"/>
      <c r="E14" s="116" t="e">
        <f>SUM(E15:E23)</f>
        <v>#REF!</v>
      </c>
      <c r="F14" s="117" t="e">
        <f>SUM(F15:F23)</f>
        <v>#REF!</v>
      </c>
      <c r="G14" s="117" t="e">
        <f>SUM(G15:G23)</f>
        <v>#REF!</v>
      </c>
      <c r="H14" s="117" t="e">
        <f>SUM(H15:H23)</f>
        <v>#REF!</v>
      </c>
      <c r="I14" s="118" t="e">
        <f>SUM(I15:I23)</f>
        <v>#REF!</v>
      </c>
      <c r="J14" s="119">
        <f>J15+J16+J23+J29</f>
        <v>0</v>
      </c>
      <c r="K14" s="120">
        <f aca="true" t="shared" si="1" ref="K14:W14">K15+K16+K23+K29</f>
        <v>0</v>
      </c>
      <c r="L14" s="117">
        <f t="shared" si="1"/>
        <v>0</v>
      </c>
      <c r="M14" s="117">
        <f t="shared" si="1"/>
        <v>0</v>
      </c>
      <c r="N14" s="121">
        <f t="shared" si="1"/>
        <v>0</v>
      </c>
      <c r="O14" s="122">
        <f>SUM(K14:N14)</f>
        <v>0</v>
      </c>
      <c r="P14" s="120">
        <f t="shared" si="1"/>
        <v>0</v>
      </c>
      <c r="Q14" s="117">
        <f t="shared" si="1"/>
        <v>0</v>
      </c>
      <c r="R14" s="117">
        <f t="shared" si="1"/>
        <v>0</v>
      </c>
      <c r="S14" s="121">
        <f t="shared" si="1"/>
        <v>0</v>
      </c>
      <c r="T14" s="122">
        <f>SUM(P14:S14)</f>
        <v>0</v>
      </c>
      <c r="U14" s="122">
        <f t="shared" si="1"/>
        <v>0</v>
      </c>
      <c r="V14" s="122">
        <f t="shared" si="1"/>
        <v>0</v>
      </c>
      <c r="W14" s="122">
        <f t="shared" si="1"/>
        <v>0</v>
      </c>
    </row>
    <row r="15" spans="1:23" ht="16.5" customHeight="1">
      <c r="A15" s="123" t="s">
        <v>32</v>
      </c>
      <c r="B15" s="124" t="s">
        <v>33</v>
      </c>
      <c r="C15" s="125"/>
      <c r="D15" s="126"/>
      <c r="E15" s="127">
        <v>951.9</v>
      </c>
      <c r="F15" s="128">
        <v>952</v>
      </c>
      <c r="G15" s="128">
        <v>1076.3</v>
      </c>
      <c r="H15" s="129">
        <v>1332.9</v>
      </c>
      <c r="I15" s="130">
        <f>SUM(E15:H15)</f>
        <v>4313.1</v>
      </c>
      <c r="J15" s="131"/>
      <c r="K15" s="132"/>
      <c r="L15" s="128"/>
      <c r="M15" s="128"/>
      <c r="N15" s="129"/>
      <c r="O15" s="133">
        <f>SUM(K15:N15)</f>
        <v>0</v>
      </c>
      <c r="P15" s="132"/>
      <c r="Q15" s="128"/>
      <c r="R15" s="128"/>
      <c r="S15" s="129"/>
      <c r="T15" s="133">
        <f aca="true" t="shared" si="2" ref="T15:T33">SUM(P15:S15)</f>
        <v>0</v>
      </c>
      <c r="U15" s="133"/>
      <c r="V15" s="133"/>
      <c r="W15" s="133"/>
    </row>
    <row r="16" spans="1:23" ht="16.5" customHeight="1">
      <c r="A16" s="123" t="s">
        <v>34</v>
      </c>
      <c r="B16" s="124" t="s">
        <v>43</v>
      </c>
      <c r="C16" s="125"/>
      <c r="D16" s="126"/>
      <c r="E16" s="127"/>
      <c r="F16" s="128"/>
      <c r="G16" s="128"/>
      <c r="H16" s="134"/>
      <c r="I16" s="130"/>
      <c r="J16" s="131"/>
      <c r="K16" s="132"/>
      <c r="L16" s="128"/>
      <c r="M16" s="128"/>
      <c r="N16" s="129"/>
      <c r="O16" s="135">
        <f aca="true" t="shared" si="3" ref="O16:O33">SUM(K16:N16)</f>
        <v>0</v>
      </c>
      <c r="P16" s="132"/>
      <c r="Q16" s="128"/>
      <c r="R16" s="128"/>
      <c r="S16" s="129"/>
      <c r="T16" s="135">
        <f t="shared" si="2"/>
        <v>0</v>
      </c>
      <c r="U16" s="133"/>
      <c r="V16" s="133"/>
      <c r="W16" s="133"/>
    </row>
    <row r="17" spans="1:23" ht="16.5" customHeight="1">
      <c r="A17" s="136" t="s">
        <v>35</v>
      </c>
      <c r="B17" s="137"/>
      <c r="C17" s="138"/>
      <c r="D17" s="139"/>
      <c r="E17" s="140"/>
      <c r="F17" s="141"/>
      <c r="G17" s="141"/>
      <c r="H17" s="142"/>
      <c r="I17" s="143"/>
      <c r="J17" s="144"/>
      <c r="K17" s="145"/>
      <c r="L17" s="141"/>
      <c r="M17" s="141"/>
      <c r="N17" s="146"/>
      <c r="O17" s="147">
        <f t="shared" si="3"/>
        <v>0</v>
      </c>
      <c r="P17" s="145"/>
      <c r="Q17" s="141"/>
      <c r="R17" s="141"/>
      <c r="S17" s="146"/>
      <c r="T17" s="147">
        <f t="shared" si="2"/>
        <v>0</v>
      </c>
      <c r="U17" s="148"/>
      <c r="V17" s="148"/>
      <c r="W17" s="148"/>
    </row>
    <row r="18" spans="1:23" ht="16.5" customHeight="1">
      <c r="A18" s="136" t="s">
        <v>36</v>
      </c>
      <c r="B18" s="137"/>
      <c r="C18" s="138"/>
      <c r="D18" s="139"/>
      <c r="E18" s="140"/>
      <c r="F18" s="141"/>
      <c r="G18" s="141"/>
      <c r="H18" s="142"/>
      <c r="I18" s="143"/>
      <c r="J18" s="144"/>
      <c r="K18" s="145"/>
      <c r="L18" s="141"/>
      <c r="M18" s="141"/>
      <c r="N18" s="146"/>
      <c r="O18" s="147">
        <f t="shared" si="3"/>
        <v>0</v>
      </c>
      <c r="P18" s="145"/>
      <c r="Q18" s="141"/>
      <c r="R18" s="141"/>
      <c r="S18" s="146"/>
      <c r="T18" s="147">
        <f t="shared" si="2"/>
        <v>0</v>
      </c>
      <c r="U18" s="148"/>
      <c r="V18" s="148"/>
      <c r="W18" s="148"/>
    </row>
    <row r="19" spans="1:23" ht="16.5" customHeight="1">
      <c r="A19" s="136" t="s">
        <v>37</v>
      </c>
      <c r="B19" s="137"/>
      <c r="C19" s="138"/>
      <c r="D19" s="139"/>
      <c r="E19" s="140"/>
      <c r="F19" s="141"/>
      <c r="G19" s="141"/>
      <c r="H19" s="142"/>
      <c r="I19" s="143"/>
      <c r="J19" s="144"/>
      <c r="K19" s="145"/>
      <c r="L19" s="141"/>
      <c r="M19" s="141"/>
      <c r="N19" s="146"/>
      <c r="O19" s="147">
        <f t="shared" si="3"/>
        <v>0</v>
      </c>
      <c r="P19" s="145"/>
      <c r="Q19" s="141"/>
      <c r="R19" s="141"/>
      <c r="S19" s="146"/>
      <c r="T19" s="147">
        <f t="shared" si="2"/>
        <v>0</v>
      </c>
      <c r="U19" s="148"/>
      <c r="V19" s="148"/>
      <c r="W19" s="148"/>
    </row>
    <row r="20" spans="1:23" ht="16.5" customHeight="1">
      <c r="A20" s="136" t="s">
        <v>38</v>
      </c>
      <c r="B20" s="137"/>
      <c r="C20" s="138"/>
      <c r="D20" s="139"/>
      <c r="E20" s="140"/>
      <c r="F20" s="141"/>
      <c r="G20" s="141"/>
      <c r="H20" s="142"/>
      <c r="I20" s="143"/>
      <c r="J20" s="144"/>
      <c r="K20" s="145"/>
      <c r="L20" s="141"/>
      <c r="M20" s="141"/>
      <c r="N20" s="146"/>
      <c r="O20" s="147">
        <f t="shared" si="3"/>
        <v>0</v>
      </c>
      <c r="P20" s="145"/>
      <c r="Q20" s="141"/>
      <c r="R20" s="141"/>
      <c r="S20" s="146"/>
      <c r="T20" s="147">
        <f t="shared" si="2"/>
        <v>0</v>
      </c>
      <c r="U20" s="148"/>
      <c r="V20" s="148"/>
      <c r="W20" s="148"/>
    </row>
    <row r="21" spans="1:23" ht="16.5" customHeight="1">
      <c r="A21" s="136" t="s">
        <v>39</v>
      </c>
      <c r="B21" s="137"/>
      <c r="C21" s="138"/>
      <c r="D21" s="139"/>
      <c r="E21" s="140"/>
      <c r="F21" s="141"/>
      <c r="G21" s="141"/>
      <c r="H21" s="142"/>
      <c r="I21" s="143"/>
      <c r="J21" s="144"/>
      <c r="K21" s="145"/>
      <c r="L21" s="141"/>
      <c r="M21" s="141"/>
      <c r="N21" s="146"/>
      <c r="O21" s="147">
        <f t="shared" si="3"/>
        <v>0</v>
      </c>
      <c r="P21" s="145"/>
      <c r="Q21" s="141"/>
      <c r="R21" s="141"/>
      <c r="S21" s="146"/>
      <c r="T21" s="147">
        <f t="shared" si="2"/>
        <v>0</v>
      </c>
      <c r="U21" s="148"/>
      <c r="V21" s="148"/>
      <c r="W21" s="148"/>
    </row>
    <row r="22" spans="1:23" ht="16.5" customHeight="1">
      <c r="A22" s="136" t="s">
        <v>40</v>
      </c>
      <c r="B22" s="137"/>
      <c r="C22" s="138"/>
      <c r="D22" s="139"/>
      <c r="E22" s="140"/>
      <c r="F22" s="141"/>
      <c r="G22" s="141"/>
      <c r="H22" s="142"/>
      <c r="I22" s="143"/>
      <c r="J22" s="144"/>
      <c r="K22" s="145"/>
      <c r="L22" s="141"/>
      <c r="M22" s="141"/>
      <c r="N22" s="146"/>
      <c r="O22" s="147">
        <f t="shared" si="3"/>
        <v>0</v>
      </c>
      <c r="P22" s="145"/>
      <c r="Q22" s="141"/>
      <c r="R22" s="141"/>
      <c r="S22" s="146"/>
      <c r="T22" s="147">
        <f t="shared" si="2"/>
        <v>0</v>
      </c>
      <c r="U22" s="148"/>
      <c r="V22" s="148"/>
      <c r="W22" s="148"/>
    </row>
    <row r="23" spans="1:23" s="150" customFormat="1" ht="16.5" customHeight="1">
      <c r="A23" s="149" t="s">
        <v>45</v>
      </c>
      <c r="B23" s="124" t="s">
        <v>44</v>
      </c>
      <c r="C23" s="125"/>
      <c r="D23" s="126"/>
      <c r="E23" s="127" t="e">
        <f>#REF!+#REF!+#REF!+#REF!+#REF!</f>
        <v>#REF!</v>
      </c>
      <c r="F23" s="128" t="e">
        <f>#REF!+#REF!+#REF!+#REF!+#REF!</f>
        <v>#REF!</v>
      </c>
      <c r="G23" s="128" t="e">
        <f>#REF!+#REF!+#REF!+#REF!+#REF!</f>
        <v>#REF!</v>
      </c>
      <c r="H23" s="128" t="e">
        <f>#REF!+#REF!+#REF!+#REF!+#REF!</f>
        <v>#REF!</v>
      </c>
      <c r="I23" s="130" t="e">
        <f>#REF!+#REF!+#REF!+#REF!+#REF!</f>
        <v>#REF!</v>
      </c>
      <c r="J23" s="131"/>
      <c r="K23" s="132"/>
      <c r="L23" s="128"/>
      <c r="M23" s="128"/>
      <c r="N23" s="129"/>
      <c r="O23" s="135">
        <f t="shared" si="3"/>
        <v>0</v>
      </c>
      <c r="P23" s="132"/>
      <c r="Q23" s="128"/>
      <c r="R23" s="128"/>
      <c r="S23" s="129"/>
      <c r="T23" s="135">
        <f t="shared" si="2"/>
        <v>0</v>
      </c>
      <c r="U23" s="133"/>
      <c r="V23" s="133"/>
      <c r="W23" s="133"/>
    </row>
    <row r="24" spans="1:23" s="150" customFormat="1" ht="18" customHeight="1">
      <c r="A24" s="151" t="s">
        <v>47</v>
      </c>
      <c r="B24" s="137"/>
      <c r="C24" s="138"/>
      <c r="D24" s="139"/>
      <c r="E24" s="140"/>
      <c r="F24" s="141"/>
      <c r="G24" s="141"/>
      <c r="H24" s="141"/>
      <c r="I24" s="143"/>
      <c r="J24" s="144"/>
      <c r="K24" s="145"/>
      <c r="L24" s="141"/>
      <c r="M24" s="141"/>
      <c r="N24" s="146"/>
      <c r="O24" s="147">
        <f t="shared" si="3"/>
        <v>0</v>
      </c>
      <c r="P24" s="145"/>
      <c r="Q24" s="141"/>
      <c r="R24" s="141"/>
      <c r="S24" s="146"/>
      <c r="T24" s="147">
        <f t="shared" si="2"/>
        <v>0</v>
      </c>
      <c r="U24" s="148"/>
      <c r="V24" s="148"/>
      <c r="W24" s="148"/>
    </row>
    <row r="25" spans="1:23" s="150" customFormat="1" ht="18" customHeight="1">
      <c r="A25" s="151" t="s">
        <v>50</v>
      </c>
      <c r="B25" s="137"/>
      <c r="C25" s="138"/>
      <c r="D25" s="139"/>
      <c r="E25" s="140"/>
      <c r="F25" s="141"/>
      <c r="G25" s="141"/>
      <c r="H25" s="141"/>
      <c r="I25" s="143"/>
      <c r="J25" s="144"/>
      <c r="K25" s="145"/>
      <c r="L25" s="141"/>
      <c r="M25" s="141"/>
      <c r="N25" s="146"/>
      <c r="O25" s="147">
        <f t="shared" si="3"/>
        <v>0</v>
      </c>
      <c r="P25" s="145"/>
      <c r="Q25" s="141"/>
      <c r="R25" s="141"/>
      <c r="S25" s="146"/>
      <c r="T25" s="147">
        <f t="shared" si="2"/>
        <v>0</v>
      </c>
      <c r="U25" s="148"/>
      <c r="V25" s="148"/>
      <c r="W25" s="148"/>
    </row>
    <row r="26" spans="1:23" s="150" customFormat="1" ht="18" customHeight="1">
      <c r="A26" s="151" t="s">
        <v>51</v>
      </c>
      <c r="B26" s="137"/>
      <c r="C26" s="138"/>
      <c r="D26" s="139"/>
      <c r="E26" s="140"/>
      <c r="F26" s="141"/>
      <c r="G26" s="141"/>
      <c r="H26" s="141"/>
      <c r="I26" s="143"/>
      <c r="J26" s="144"/>
      <c r="K26" s="145"/>
      <c r="L26" s="141"/>
      <c r="M26" s="141"/>
      <c r="N26" s="146"/>
      <c r="O26" s="147">
        <f t="shared" si="3"/>
        <v>0</v>
      </c>
      <c r="P26" s="145"/>
      <c r="Q26" s="141"/>
      <c r="R26" s="141"/>
      <c r="S26" s="146"/>
      <c r="T26" s="147">
        <f t="shared" si="2"/>
        <v>0</v>
      </c>
      <c r="U26" s="148"/>
      <c r="V26" s="148"/>
      <c r="W26" s="148"/>
    </row>
    <row r="27" spans="1:23" s="150" customFormat="1" ht="18" customHeight="1">
      <c r="A27" s="151" t="s">
        <v>52</v>
      </c>
      <c r="B27" s="137"/>
      <c r="C27" s="138"/>
      <c r="D27" s="139"/>
      <c r="E27" s="140"/>
      <c r="F27" s="141"/>
      <c r="G27" s="141"/>
      <c r="H27" s="141"/>
      <c r="I27" s="143"/>
      <c r="J27" s="144"/>
      <c r="K27" s="145"/>
      <c r="L27" s="141"/>
      <c r="M27" s="141"/>
      <c r="N27" s="146"/>
      <c r="O27" s="147">
        <f t="shared" si="3"/>
        <v>0</v>
      </c>
      <c r="P27" s="145"/>
      <c r="Q27" s="141"/>
      <c r="R27" s="141"/>
      <c r="S27" s="146"/>
      <c r="T27" s="147">
        <f t="shared" si="2"/>
        <v>0</v>
      </c>
      <c r="U27" s="148"/>
      <c r="V27" s="147"/>
      <c r="W27" s="148"/>
    </row>
    <row r="28" spans="1:23" s="150" customFormat="1" ht="18" customHeight="1">
      <c r="A28" s="151" t="s">
        <v>53</v>
      </c>
      <c r="B28" s="137"/>
      <c r="C28" s="138"/>
      <c r="D28" s="139"/>
      <c r="E28" s="140"/>
      <c r="F28" s="141"/>
      <c r="G28" s="141"/>
      <c r="H28" s="141"/>
      <c r="I28" s="143"/>
      <c r="J28" s="144"/>
      <c r="K28" s="145"/>
      <c r="L28" s="141"/>
      <c r="M28" s="141"/>
      <c r="N28" s="146"/>
      <c r="O28" s="147">
        <f t="shared" si="3"/>
        <v>0</v>
      </c>
      <c r="P28" s="145"/>
      <c r="Q28" s="141"/>
      <c r="R28" s="141"/>
      <c r="S28" s="146"/>
      <c r="T28" s="147">
        <f t="shared" si="2"/>
        <v>0</v>
      </c>
      <c r="U28" s="148"/>
      <c r="V28" s="147"/>
      <c r="W28" s="148"/>
    </row>
    <row r="29" spans="1:23" ht="18" customHeight="1">
      <c r="A29" s="149" t="s">
        <v>48</v>
      </c>
      <c r="B29" s="124" t="s">
        <v>46</v>
      </c>
      <c r="C29" s="125"/>
      <c r="D29" s="126"/>
      <c r="E29" s="127" t="e">
        <f>#REF!+#REF!+#REF!+#REF!+#REF!</f>
        <v>#REF!</v>
      </c>
      <c r="F29" s="128" t="e">
        <f>#REF!+#REF!+#REF!+#REF!+#REF!</f>
        <v>#REF!</v>
      </c>
      <c r="G29" s="128" t="e">
        <f>#REF!+#REF!+#REF!+#REF!+#REF!</f>
        <v>#REF!</v>
      </c>
      <c r="H29" s="128" t="e">
        <f>#REF!+#REF!+#REF!+#REF!+#REF!</f>
        <v>#REF!</v>
      </c>
      <c r="I29" s="130" t="e">
        <f>#REF!+#REF!+#REF!+#REF!+#REF!</f>
        <v>#REF!</v>
      </c>
      <c r="J29" s="131"/>
      <c r="K29" s="132"/>
      <c r="L29" s="128"/>
      <c r="M29" s="128"/>
      <c r="N29" s="129"/>
      <c r="O29" s="135">
        <f t="shared" si="3"/>
        <v>0</v>
      </c>
      <c r="P29" s="132"/>
      <c r="Q29" s="128"/>
      <c r="R29" s="128"/>
      <c r="S29" s="129"/>
      <c r="T29" s="135">
        <f t="shared" si="2"/>
        <v>0</v>
      </c>
      <c r="U29" s="133"/>
      <c r="V29" s="135"/>
      <c r="W29" s="133"/>
    </row>
    <row r="30" spans="1:23" s="150" customFormat="1" ht="18" customHeight="1">
      <c r="A30" s="151" t="s">
        <v>49</v>
      </c>
      <c r="B30" s="137"/>
      <c r="C30" s="138"/>
      <c r="D30" s="139"/>
      <c r="E30" s="140"/>
      <c r="F30" s="141"/>
      <c r="G30" s="141"/>
      <c r="H30" s="141"/>
      <c r="I30" s="143"/>
      <c r="J30" s="144"/>
      <c r="K30" s="145"/>
      <c r="L30" s="141"/>
      <c r="M30" s="141"/>
      <c r="N30" s="146"/>
      <c r="O30" s="147">
        <f t="shared" si="3"/>
        <v>0</v>
      </c>
      <c r="P30" s="145"/>
      <c r="Q30" s="141"/>
      <c r="R30" s="141"/>
      <c r="S30" s="146"/>
      <c r="T30" s="147">
        <f t="shared" si="2"/>
        <v>0</v>
      </c>
      <c r="U30" s="148"/>
      <c r="V30" s="147"/>
      <c r="W30" s="148"/>
    </row>
    <row r="31" spans="1:23" s="150" customFormat="1" ht="18" customHeight="1">
      <c r="A31" s="151" t="s">
        <v>54</v>
      </c>
      <c r="B31" s="137"/>
      <c r="C31" s="138"/>
      <c r="D31" s="139"/>
      <c r="E31" s="140"/>
      <c r="F31" s="141"/>
      <c r="G31" s="141"/>
      <c r="H31" s="141"/>
      <c r="I31" s="143"/>
      <c r="J31" s="144"/>
      <c r="K31" s="145"/>
      <c r="L31" s="141"/>
      <c r="M31" s="141"/>
      <c r="N31" s="146"/>
      <c r="O31" s="147">
        <f t="shared" si="3"/>
        <v>0</v>
      </c>
      <c r="P31" s="145"/>
      <c r="Q31" s="141"/>
      <c r="R31" s="141"/>
      <c r="S31" s="146"/>
      <c r="T31" s="147">
        <f t="shared" si="2"/>
        <v>0</v>
      </c>
      <c r="U31" s="148"/>
      <c r="V31" s="147"/>
      <c r="W31" s="148"/>
    </row>
    <row r="32" spans="1:23" s="150" customFormat="1" ht="18" customHeight="1">
      <c r="A32" s="151" t="s">
        <v>55</v>
      </c>
      <c r="B32" s="137"/>
      <c r="C32" s="138"/>
      <c r="D32" s="139"/>
      <c r="E32" s="140"/>
      <c r="F32" s="141"/>
      <c r="G32" s="141"/>
      <c r="H32" s="141"/>
      <c r="I32" s="143"/>
      <c r="J32" s="144"/>
      <c r="K32" s="145"/>
      <c r="L32" s="141"/>
      <c r="M32" s="141"/>
      <c r="N32" s="146"/>
      <c r="O32" s="147">
        <f t="shared" si="3"/>
        <v>0</v>
      </c>
      <c r="P32" s="145"/>
      <c r="Q32" s="141"/>
      <c r="R32" s="141"/>
      <c r="S32" s="146"/>
      <c r="T32" s="147">
        <f t="shared" si="2"/>
        <v>0</v>
      </c>
      <c r="U32" s="148"/>
      <c r="V32" s="147"/>
      <c r="W32" s="148"/>
    </row>
    <row r="33" spans="1:23" s="150" customFormat="1" ht="18" customHeight="1">
      <c r="A33" s="151" t="s">
        <v>56</v>
      </c>
      <c r="B33" s="137"/>
      <c r="C33" s="138"/>
      <c r="D33" s="139"/>
      <c r="E33" s="140"/>
      <c r="F33" s="141"/>
      <c r="G33" s="141"/>
      <c r="H33" s="141"/>
      <c r="I33" s="143"/>
      <c r="J33" s="144"/>
      <c r="K33" s="145"/>
      <c r="L33" s="141"/>
      <c r="M33" s="141"/>
      <c r="N33" s="146"/>
      <c r="O33" s="147">
        <f t="shared" si="3"/>
        <v>0</v>
      </c>
      <c r="P33" s="145"/>
      <c r="Q33" s="141"/>
      <c r="R33" s="141"/>
      <c r="S33" s="146"/>
      <c r="T33" s="147">
        <f t="shared" si="2"/>
        <v>0</v>
      </c>
      <c r="U33" s="148"/>
      <c r="V33" s="147"/>
      <c r="W33" s="148"/>
    </row>
    <row r="34" spans="1:23" s="164" customFormat="1" ht="18" customHeight="1">
      <c r="A34" s="152"/>
      <c r="B34" s="153"/>
      <c r="C34" s="154"/>
      <c r="D34" s="155"/>
      <c r="E34" s="156"/>
      <c r="F34" s="157"/>
      <c r="G34" s="157"/>
      <c r="H34" s="157"/>
      <c r="I34" s="158"/>
      <c r="J34" s="159"/>
      <c r="K34" s="160"/>
      <c r="L34" s="157"/>
      <c r="M34" s="157"/>
      <c r="N34" s="161"/>
      <c r="O34" s="162"/>
      <c r="P34" s="160"/>
      <c r="Q34" s="157"/>
      <c r="R34" s="157"/>
      <c r="S34" s="161"/>
      <c r="T34" s="162"/>
      <c r="U34" s="163"/>
      <c r="V34" s="162"/>
      <c r="W34" s="163"/>
    </row>
    <row r="35" spans="1:24" s="150" customFormat="1" ht="18" customHeight="1">
      <c r="A35" s="325" t="s">
        <v>13</v>
      </c>
      <c r="B35" s="165" t="s">
        <v>81</v>
      </c>
      <c r="C35" s="138"/>
      <c r="D35" s="139"/>
      <c r="E35" s="140"/>
      <c r="F35" s="141"/>
      <c r="G35" s="141"/>
      <c r="H35" s="141"/>
      <c r="I35" s="143"/>
      <c r="J35" s="144">
        <f>J36+J57</f>
        <v>1838</v>
      </c>
      <c r="K35" s="145">
        <f aca="true" t="shared" si="4" ref="K35:W35">K36+K57</f>
        <v>0</v>
      </c>
      <c r="L35" s="145">
        <f t="shared" si="4"/>
        <v>98</v>
      </c>
      <c r="M35" s="166">
        <f t="shared" si="4"/>
        <v>2073</v>
      </c>
      <c r="N35" s="166">
        <f t="shared" si="4"/>
        <v>2736</v>
      </c>
      <c r="O35" s="166">
        <f t="shared" si="4"/>
        <v>4907</v>
      </c>
      <c r="P35" s="166">
        <f t="shared" si="4"/>
        <v>0</v>
      </c>
      <c r="Q35" s="166">
        <f t="shared" si="4"/>
        <v>181</v>
      </c>
      <c r="R35" s="166">
        <f t="shared" si="4"/>
        <v>2191</v>
      </c>
      <c r="S35" s="166">
        <f t="shared" si="4"/>
        <v>331</v>
      </c>
      <c r="T35" s="166">
        <f t="shared" si="4"/>
        <v>2703</v>
      </c>
      <c r="U35" s="166">
        <f t="shared" si="4"/>
        <v>4407</v>
      </c>
      <c r="V35" s="167">
        <f t="shared" si="4"/>
        <v>5668</v>
      </c>
      <c r="W35" s="287">
        <f t="shared" si="4"/>
        <v>1194</v>
      </c>
      <c r="X35" s="168">
        <f>SUM(O35+T35+U35+V35+W35)</f>
        <v>18879</v>
      </c>
    </row>
    <row r="36" spans="1:25" s="150" customFormat="1" ht="18" customHeight="1">
      <c r="A36" s="325" t="s">
        <v>171</v>
      </c>
      <c r="B36" s="165" t="s">
        <v>82</v>
      </c>
      <c r="C36" s="138"/>
      <c r="D36" s="139"/>
      <c r="E36" s="140"/>
      <c r="F36" s="141"/>
      <c r="G36" s="141"/>
      <c r="H36" s="141"/>
      <c r="I36" s="143"/>
      <c r="J36" s="227">
        <f>J37+J53</f>
        <v>1782</v>
      </c>
      <c r="K36" s="226">
        <f aca="true" t="shared" si="5" ref="K36:W36">K37+K53</f>
        <v>0</v>
      </c>
      <c r="L36" s="143">
        <f t="shared" si="5"/>
        <v>98</v>
      </c>
      <c r="M36" s="167">
        <f t="shared" si="5"/>
        <v>2028</v>
      </c>
      <c r="N36" s="167">
        <f t="shared" si="5"/>
        <v>2516</v>
      </c>
      <c r="O36" s="167">
        <f t="shared" si="5"/>
        <v>4642</v>
      </c>
      <c r="P36" s="167">
        <f t="shared" si="5"/>
        <v>0</v>
      </c>
      <c r="Q36" s="167">
        <f t="shared" si="5"/>
        <v>61</v>
      </c>
      <c r="R36" s="167">
        <f t="shared" si="5"/>
        <v>2056</v>
      </c>
      <c r="S36" s="167">
        <f t="shared" si="5"/>
        <v>16</v>
      </c>
      <c r="T36" s="167">
        <f t="shared" si="5"/>
        <v>2133</v>
      </c>
      <c r="U36" s="167">
        <f t="shared" si="5"/>
        <v>2777</v>
      </c>
      <c r="V36" s="167">
        <f t="shared" si="5"/>
        <v>3538</v>
      </c>
      <c r="W36" s="287">
        <f t="shared" si="5"/>
        <v>564</v>
      </c>
      <c r="X36" s="168"/>
      <c r="Y36" s="169"/>
    </row>
    <row r="37" spans="1:25" s="150" customFormat="1" ht="18" customHeight="1">
      <c r="A37" s="325"/>
      <c r="B37" s="335" t="s">
        <v>46</v>
      </c>
      <c r="C37" s="138"/>
      <c r="D37" s="139"/>
      <c r="E37" s="140"/>
      <c r="F37" s="141"/>
      <c r="G37" s="141"/>
      <c r="H37" s="141"/>
      <c r="I37" s="143"/>
      <c r="J37" s="144">
        <f>SUM(J38:J51)</f>
        <v>1782</v>
      </c>
      <c r="K37" s="143">
        <f aca="true" t="shared" si="6" ref="K37:W37">SUM(K38:K51)</f>
        <v>0</v>
      </c>
      <c r="L37" s="143">
        <f t="shared" si="6"/>
        <v>98</v>
      </c>
      <c r="M37" s="167">
        <f t="shared" si="6"/>
        <v>2028</v>
      </c>
      <c r="N37" s="167">
        <f t="shared" si="6"/>
        <v>2516</v>
      </c>
      <c r="O37" s="167">
        <f t="shared" si="6"/>
        <v>4642</v>
      </c>
      <c r="P37" s="167">
        <f t="shared" si="6"/>
        <v>0</v>
      </c>
      <c r="Q37" s="167">
        <f t="shared" si="6"/>
        <v>61</v>
      </c>
      <c r="R37" s="167">
        <f t="shared" si="6"/>
        <v>2056</v>
      </c>
      <c r="S37" s="167">
        <f t="shared" si="6"/>
        <v>16</v>
      </c>
      <c r="T37" s="167">
        <f t="shared" si="6"/>
        <v>2133</v>
      </c>
      <c r="U37" s="167">
        <f t="shared" si="6"/>
        <v>2777</v>
      </c>
      <c r="V37" s="167">
        <f t="shared" si="6"/>
        <v>3538</v>
      </c>
      <c r="W37" s="287">
        <f t="shared" si="6"/>
        <v>564</v>
      </c>
      <c r="X37" s="168"/>
      <c r="Y37" s="169"/>
    </row>
    <row r="38" spans="1:24" s="150" customFormat="1" ht="18" customHeight="1">
      <c r="A38" s="325"/>
      <c r="B38" s="327" t="s">
        <v>173</v>
      </c>
      <c r="C38" s="138"/>
      <c r="D38" s="139"/>
      <c r="E38" s="140"/>
      <c r="F38" s="141"/>
      <c r="G38" s="141"/>
      <c r="H38" s="141"/>
      <c r="I38" s="143"/>
      <c r="J38" s="144">
        <f>J72+J79+J83+J86+J92+J99+J111+J114</f>
        <v>0</v>
      </c>
      <c r="K38" s="143">
        <f aca="true" t="shared" si="7" ref="K38:W38">K72+K79+K83+K86+K92+K99+K111+K114</f>
        <v>0</v>
      </c>
      <c r="L38" s="143">
        <f t="shared" si="7"/>
        <v>58</v>
      </c>
      <c r="M38" s="167">
        <f t="shared" si="7"/>
        <v>56</v>
      </c>
      <c r="N38" s="167">
        <f t="shared" si="7"/>
        <v>16</v>
      </c>
      <c r="O38" s="167">
        <f t="shared" si="7"/>
        <v>130</v>
      </c>
      <c r="P38" s="167">
        <f t="shared" si="7"/>
        <v>0</v>
      </c>
      <c r="Q38" s="167">
        <f t="shared" si="7"/>
        <v>61</v>
      </c>
      <c r="R38" s="167">
        <f t="shared" si="7"/>
        <v>41</v>
      </c>
      <c r="S38" s="167">
        <f t="shared" si="7"/>
        <v>16</v>
      </c>
      <c r="T38" s="167">
        <f t="shared" si="7"/>
        <v>118</v>
      </c>
      <c r="U38" s="167">
        <f t="shared" si="7"/>
        <v>102</v>
      </c>
      <c r="V38" s="167">
        <f t="shared" si="7"/>
        <v>102</v>
      </c>
      <c r="W38" s="287">
        <f t="shared" si="7"/>
        <v>302</v>
      </c>
      <c r="X38" s="168"/>
    </row>
    <row r="39" spans="1:24" s="150" customFormat="1" ht="18" customHeight="1">
      <c r="A39" s="325"/>
      <c r="B39" s="327" t="s">
        <v>175</v>
      </c>
      <c r="C39" s="138"/>
      <c r="D39" s="139"/>
      <c r="E39" s="140"/>
      <c r="F39" s="141"/>
      <c r="G39" s="141"/>
      <c r="H39" s="141"/>
      <c r="I39" s="143"/>
      <c r="J39" s="144">
        <f>J73+J74+J84+J98+J100+J101+J103</f>
        <v>45</v>
      </c>
      <c r="K39" s="143">
        <f aca="true" t="shared" si="8" ref="K39:W39">K73+K74+K84+K98+K100+K101+K103</f>
        <v>0</v>
      </c>
      <c r="L39" s="143">
        <f t="shared" si="8"/>
        <v>40</v>
      </c>
      <c r="M39" s="167">
        <f t="shared" si="8"/>
        <v>0</v>
      </c>
      <c r="N39" s="167">
        <f t="shared" si="8"/>
        <v>1122</v>
      </c>
      <c r="O39" s="167">
        <f t="shared" si="8"/>
        <v>1162</v>
      </c>
      <c r="P39" s="167">
        <f t="shared" si="8"/>
        <v>0</v>
      </c>
      <c r="Q39" s="167">
        <f t="shared" si="8"/>
        <v>0</v>
      </c>
      <c r="R39" s="167">
        <f t="shared" si="8"/>
        <v>700</v>
      </c>
      <c r="S39" s="167">
        <f t="shared" si="8"/>
        <v>0</v>
      </c>
      <c r="T39" s="167">
        <f t="shared" si="8"/>
        <v>700</v>
      </c>
      <c r="U39" s="167">
        <f t="shared" si="8"/>
        <v>75</v>
      </c>
      <c r="V39" s="167">
        <f t="shared" si="8"/>
        <v>20</v>
      </c>
      <c r="W39" s="287">
        <f t="shared" si="8"/>
        <v>20</v>
      </c>
      <c r="X39" s="168"/>
    </row>
    <row r="40" spans="1:24" s="150" customFormat="1" ht="18" customHeight="1">
      <c r="A40" s="325"/>
      <c r="B40" s="327" t="s">
        <v>179</v>
      </c>
      <c r="C40" s="138"/>
      <c r="D40" s="139"/>
      <c r="E40" s="140"/>
      <c r="F40" s="141"/>
      <c r="G40" s="141"/>
      <c r="H40" s="141"/>
      <c r="I40" s="143"/>
      <c r="J40" s="144">
        <f aca="true" t="shared" si="9" ref="J40:W40">J106+J108+J119</f>
        <v>0</v>
      </c>
      <c r="K40" s="143">
        <f t="shared" si="9"/>
        <v>0</v>
      </c>
      <c r="L40" s="143">
        <f t="shared" si="9"/>
        <v>0</v>
      </c>
      <c r="M40" s="167">
        <f t="shared" si="9"/>
        <v>0</v>
      </c>
      <c r="N40" s="167">
        <f t="shared" si="9"/>
        <v>50</v>
      </c>
      <c r="O40" s="167">
        <f t="shared" si="9"/>
        <v>50</v>
      </c>
      <c r="P40" s="167">
        <f t="shared" si="9"/>
        <v>0</v>
      </c>
      <c r="Q40" s="167">
        <f t="shared" si="9"/>
        <v>0</v>
      </c>
      <c r="R40" s="167">
        <f t="shared" si="9"/>
        <v>0</v>
      </c>
      <c r="S40" s="167">
        <f t="shared" si="9"/>
        <v>0</v>
      </c>
      <c r="T40" s="167">
        <f t="shared" si="9"/>
        <v>0</v>
      </c>
      <c r="U40" s="167">
        <f t="shared" si="9"/>
        <v>500</v>
      </c>
      <c r="V40" s="167">
        <f t="shared" si="9"/>
        <v>500</v>
      </c>
      <c r="W40" s="287">
        <f t="shared" si="9"/>
        <v>0</v>
      </c>
      <c r="X40" s="168"/>
    </row>
    <row r="41" spans="1:24" s="150" customFormat="1" ht="18" customHeight="1">
      <c r="A41" s="325"/>
      <c r="B41" s="327" t="s">
        <v>174</v>
      </c>
      <c r="C41" s="138"/>
      <c r="D41" s="139"/>
      <c r="E41" s="140"/>
      <c r="F41" s="141"/>
      <c r="G41" s="141"/>
      <c r="H41" s="141"/>
      <c r="I41" s="143"/>
      <c r="J41" s="144">
        <f>J77+J78+J105+J107</f>
        <v>0</v>
      </c>
      <c r="K41" s="143">
        <f aca="true" t="shared" si="10" ref="K41:W41">K77+K78+K105+K107</f>
        <v>0</v>
      </c>
      <c r="L41" s="143">
        <f t="shared" si="10"/>
        <v>0</v>
      </c>
      <c r="M41" s="167">
        <f t="shared" si="10"/>
        <v>115</v>
      </c>
      <c r="N41" s="167">
        <f t="shared" si="10"/>
        <v>0</v>
      </c>
      <c r="O41" s="167">
        <f t="shared" si="10"/>
        <v>115</v>
      </c>
      <c r="P41" s="167">
        <f t="shared" si="10"/>
        <v>0</v>
      </c>
      <c r="Q41" s="167">
        <f t="shared" si="10"/>
        <v>0</v>
      </c>
      <c r="R41" s="167">
        <f t="shared" si="10"/>
        <v>80</v>
      </c>
      <c r="S41" s="167">
        <f t="shared" si="10"/>
        <v>0</v>
      </c>
      <c r="T41" s="167">
        <f t="shared" si="10"/>
        <v>80</v>
      </c>
      <c r="U41" s="167">
        <f t="shared" si="10"/>
        <v>550</v>
      </c>
      <c r="V41" s="167">
        <f t="shared" si="10"/>
        <v>50</v>
      </c>
      <c r="W41" s="287">
        <f t="shared" si="10"/>
        <v>50</v>
      </c>
      <c r="X41" s="168"/>
    </row>
    <row r="42" spans="1:24" s="150" customFormat="1" ht="18" customHeight="1">
      <c r="A42" s="325"/>
      <c r="B42" s="327" t="s">
        <v>176</v>
      </c>
      <c r="C42" s="138"/>
      <c r="D42" s="139"/>
      <c r="E42" s="140"/>
      <c r="F42" s="141"/>
      <c r="G42" s="141"/>
      <c r="H42" s="141"/>
      <c r="I42" s="143"/>
      <c r="J42" s="144">
        <f>J80+J82</f>
        <v>0</v>
      </c>
      <c r="K42" s="143">
        <f aca="true" t="shared" si="11" ref="K42:W42">K80+K82</f>
        <v>0</v>
      </c>
      <c r="L42" s="143">
        <f t="shared" si="11"/>
        <v>0</v>
      </c>
      <c r="M42" s="167">
        <f t="shared" si="11"/>
        <v>0</v>
      </c>
      <c r="N42" s="167">
        <f t="shared" si="11"/>
        <v>0</v>
      </c>
      <c r="O42" s="167">
        <f t="shared" si="11"/>
        <v>0</v>
      </c>
      <c r="P42" s="167">
        <f t="shared" si="11"/>
        <v>0</v>
      </c>
      <c r="Q42" s="167">
        <f t="shared" si="11"/>
        <v>0</v>
      </c>
      <c r="R42" s="167">
        <f t="shared" si="11"/>
        <v>0</v>
      </c>
      <c r="S42" s="167">
        <f t="shared" si="11"/>
        <v>0</v>
      </c>
      <c r="T42" s="167">
        <f t="shared" si="11"/>
        <v>0</v>
      </c>
      <c r="U42" s="167">
        <f t="shared" si="11"/>
        <v>20</v>
      </c>
      <c r="V42" s="167">
        <f t="shared" si="11"/>
        <v>0</v>
      </c>
      <c r="W42" s="287">
        <f t="shared" si="11"/>
        <v>150</v>
      </c>
      <c r="X42" s="168"/>
    </row>
    <row r="43" spans="1:24" s="150" customFormat="1" ht="18" customHeight="1">
      <c r="A43" s="325"/>
      <c r="B43" s="327" t="s">
        <v>178</v>
      </c>
      <c r="C43" s="138"/>
      <c r="D43" s="139"/>
      <c r="E43" s="140"/>
      <c r="F43" s="141"/>
      <c r="G43" s="141"/>
      <c r="H43" s="141"/>
      <c r="I43" s="143"/>
      <c r="J43" s="144">
        <f>J75+J76+J104+J109+J110+J112+J113+J115+J116+J117</f>
        <v>0</v>
      </c>
      <c r="K43" s="143">
        <f aca="true" t="shared" si="12" ref="K43:W43">K75+K76+K104+K109+K110+K112+K113+K115+K116+K117</f>
        <v>0</v>
      </c>
      <c r="L43" s="143">
        <f t="shared" si="12"/>
        <v>0</v>
      </c>
      <c r="M43" s="167">
        <f t="shared" si="12"/>
        <v>155</v>
      </c>
      <c r="N43" s="167">
        <f t="shared" si="12"/>
        <v>0</v>
      </c>
      <c r="O43" s="167">
        <f t="shared" si="12"/>
        <v>155</v>
      </c>
      <c r="P43" s="167">
        <f t="shared" si="12"/>
        <v>0</v>
      </c>
      <c r="Q43" s="167">
        <f t="shared" si="12"/>
        <v>0</v>
      </c>
      <c r="R43" s="167">
        <f t="shared" si="12"/>
        <v>115</v>
      </c>
      <c r="S43" s="167">
        <f t="shared" si="12"/>
        <v>0</v>
      </c>
      <c r="T43" s="167">
        <f t="shared" si="12"/>
        <v>115</v>
      </c>
      <c r="U43" s="167">
        <f t="shared" si="12"/>
        <v>60</v>
      </c>
      <c r="V43" s="167">
        <f t="shared" si="12"/>
        <v>180</v>
      </c>
      <c r="W43" s="287">
        <f t="shared" si="12"/>
        <v>20</v>
      </c>
      <c r="X43" s="168"/>
    </row>
    <row r="44" spans="1:24" s="150" customFormat="1" ht="18" customHeight="1">
      <c r="A44" s="325"/>
      <c r="B44" s="327" t="s">
        <v>388</v>
      </c>
      <c r="C44" s="138"/>
      <c r="D44" s="139"/>
      <c r="E44" s="140"/>
      <c r="F44" s="141"/>
      <c r="G44" s="141"/>
      <c r="H44" s="141"/>
      <c r="I44" s="143"/>
      <c r="J44" s="144">
        <f>J122+J123</f>
        <v>0</v>
      </c>
      <c r="K44" s="143">
        <f aca="true" t="shared" si="13" ref="K44:W44">K122+K123</f>
        <v>0</v>
      </c>
      <c r="L44" s="143">
        <f t="shared" si="13"/>
        <v>0</v>
      </c>
      <c r="M44" s="167">
        <f t="shared" si="13"/>
        <v>280</v>
      </c>
      <c r="N44" s="167">
        <f t="shared" si="13"/>
        <v>0</v>
      </c>
      <c r="O44" s="167">
        <f t="shared" si="13"/>
        <v>280</v>
      </c>
      <c r="P44" s="167">
        <f t="shared" si="13"/>
        <v>0</v>
      </c>
      <c r="Q44" s="167">
        <f t="shared" si="13"/>
        <v>0</v>
      </c>
      <c r="R44" s="167">
        <f t="shared" si="13"/>
        <v>20</v>
      </c>
      <c r="S44" s="167">
        <f t="shared" si="13"/>
        <v>0</v>
      </c>
      <c r="T44" s="167">
        <f t="shared" si="13"/>
        <v>20</v>
      </c>
      <c r="U44" s="167">
        <f t="shared" si="13"/>
        <v>20</v>
      </c>
      <c r="V44" s="167">
        <f t="shared" si="13"/>
        <v>36</v>
      </c>
      <c r="W44" s="287">
        <f t="shared" si="13"/>
        <v>22</v>
      </c>
      <c r="X44" s="168"/>
    </row>
    <row r="45" spans="1:24" s="150" customFormat="1" ht="31.5" customHeight="1">
      <c r="A45" s="325"/>
      <c r="B45" s="327" t="str">
        <f>B94</f>
        <v>3-osios vandenvietės sanitarinės zonos nustatymo projektas ir SAZ plano parengimas</v>
      </c>
      <c r="C45" s="138"/>
      <c r="D45" s="139"/>
      <c r="E45" s="140"/>
      <c r="F45" s="141"/>
      <c r="G45" s="141"/>
      <c r="H45" s="141"/>
      <c r="I45" s="143"/>
      <c r="J45" s="144">
        <f aca="true" t="shared" si="14" ref="J45:W45">J94</f>
        <v>40</v>
      </c>
      <c r="K45" s="143">
        <f t="shared" si="14"/>
        <v>0</v>
      </c>
      <c r="L45" s="143">
        <f t="shared" si="14"/>
        <v>0</v>
      </c>
      <c r="M45" s="167">
        <f t="shared" si="14"/>
        <v>0</v>
      </c>
      <c r="N45" s="167">
        <f t="shared" si="14"/>
        <v>18</v>
      </c>
      <c r="O45" s="167">
        <f t="shared" si="14"/>
        <v>18</v>
      </c>
      <c r="P45" s="167">
        <f t="shared" si="14"/>
        <v>0</v>
      </c>
      <c r="Q45" s="167">
        <f t="shared" si="14"/>
        <v>0</v>
      </c>
      <c r="R45" s="167">
        <f t="shared" si="14"/>
        <v>0</v>
      </c>
      <c r="S45" s="167">
        <f t="shared" si="14"/>
        <v>0</v>
      </c>
      <c r="T45" s="167">
        <f t="shared" si="14"/>
        <v>0</v>
      </c>
      <c r="U45" s="167">
        <f t="shared" si="14"/>
        <v>0</v>
      </c>
      <c r="V45" s="167">
        <f t="shared" si="14"/>
        <v>0</v>
      </c>
      <c r="W45" s="287">
        <f t="shared" si="14"/>
        <v>0</v>
      </c>
      <c r="X45" s="168"/>
    </row>
    <row r="46" spans="1:24" s="150" customFormat="1" ht="39.75" customHeight="1">
      <c r="A46" s="325"/>
      <c r="B46" s="327" t="str">
        <f>B95</f>
        <v>3-ios vandenvietės 2-jo kėlimo stoties galingumų mažinimo studija, techninis projektas, siurblinės rekonstrukcija</v>
      </c>
      <c r="C46" s="138"/>
      <c r="D46" s="139"/>
      <c r="E46" s="140"/>
      <c r="F46" s="141"/>
      <c r="G46" s="141"/>
      <c r="H46" s="141"/>
      <c r="I46" s="143"/>
      <c r="J46" s="144">
        <f aca="true" t="shared" si="15" ref="J46:W46">J95</f>
        <v>1653</v>
      </c>
      <c r="K46" s="143">
        <f t="shared" si="15"/>
        <v>0</v>
      </c>
      <c r="L46" s="143">
        <f t="shared" si="15"/>
        <v>0</v>
      </c>
      <c r="M46" s="167">
        <f t="shared" si="15"/>
        <v>1222</v>
      </c>
      <c r="N46" s="167">
        <f t="shared" si="15"/>
        <v>0</v>
      </c>
      <c r="O46" s="167">
        <f t="shared" si="15"/>
        <v>1222</v>
      </c>
      <c r="P46" s="167">
        <f t="shared" si="15"/>
        <v>0</v>
      </c>
      <c r="Q46" s="167">
        <f t="shared" si="15"/>
        <v>0</v>
      </c>
      <c r="R46" s="167">
        <f t="shared" si="15"/>
        <v>0</v>
      </c>
      <c r="S46" s="167">
        <f t="shared" si="15"/>
        <v>0</v>
      </c>
      <c r="T46" s="167">
        <f t="shared" si="15"/>
        <v>0</v>
      </c>
      <c r="U46" s="167">
        <f t="shared" si="15"/>
        <v>0</v>
      </c>
      <c r="V46" s="167">
        <f t="shared" si="15"/>
        <v>0</v>
      </c>
      <c r="W46" s="287">
        <f t="shared" si="15"/>
        <v>0</v>
      </c>
      <c r="X46" s="168"/>
    </row>
    <row r="47" spans="1:24" s="150" customFormat="1" ht="36" customHeight="1">
      <c r="A47" s="325"/>
      <c r="B47" s="327" t="str">
        <f>B97</f>
        <v>3-iosios vandenvietės geriamojo vandens rezervuaro Nr.4 remonto projektas ir darbai</v>
      </c>
      <c r="C47" s="138"/>
      <c r="D47" s="139"/>
      <c r="E47" s="140"/>
      <c r="F47" s="141"/>
      <c r="G47" s="141"/>
      <c r="H47" s="141"/>
      <c r="I47" s="143"/>
      <c r="J47" s="144">
        <f aca="true" t="shared" si="16" ref="J47:W47">J97</f>
        <v>44</v>
      </c>
      <c r="K47" s="143">
        <f t="shared" si="16"/>
        <v>0</v>
      </c>
      <c r="L47" s="143">
        <f t="shared" si="16"/>
        <v>0</v>
      </c>
      <c r="M47" s="167">
        <f t="shared" si="16"/>
        <v>0</v>
      </c>
      <c r="N47" s="167">
        <f t="shared" si="16"/>
        <v>0</v>
      </c>
      <c r="O47" s="167">
        <f t="shared" si="16"/>
        <v>0</v>
      </c>
      <c r="P47" s="167">
        <f t="shared" si="16"/>
        <v>0</v>
      </c>
      <c r="Q47" s="167">
        <f t="shared" si="16"/>
        <v>0</v>
      </c>
      <c r="R47" s="167">
        <f t="shared" si="16"/>
        <v>0</v>
      </c>
      <c r="S47" s="167">
        <f t="shared" si="16"/>
        <v>0</v>
      </c>
      <c r="T47" s="167">
        <f t="shared" si="16"/>
        <v>0</v>
      </c>
      <c r="U47" s="167">
        <f t="shared" si="16"/>
        <v>1450</v>
      </c>
      <c r="V47" s="167">
        <f t="shared" si="16"/>
        <v>1650</v>
      </c>
      <c r="W47" s="287">
        <f t="shared" si="16"/>
        <v>0</v>
      </c>
      <c r="X47" s="168"/>
    </row>
    <row r="48" spans="1:24" s="150" customFormat="1" ht="36" customHeight="1">
      <c r="A48" s="325"/>
      <c r="B48" s="337" t="str">
        <f>B96</f>
        <v>Magistralinio drenų vandens surinkimo vamzdyno remontas</v>
      </c>
      <c r="C48" s="138"/>
      <c r="D48" s="139"/>
      <c r="E48" s="140"/>
      <c r="F48" s="141"/>
      <c r="G48" s="141"/>
      <c r="H48" s="141"/>
      <c r="I48" s="143"/>
      <c r="J48" s="144">
        <f aca="true" t="shared" si="17" ref="J48:W48">J96</f>
        <v>0</v>
      </c>
      <c r="K48" s="143">
        <f t="shared" si="17"/>
        <v>0</v>
      </c>
      <c r="L48" s="143">
        <f t="shared" si="17"/>
        <v>0</v>
      </c>
      <c r="M48" s="167">
        <f t="shared" si="17"/>
        <v>200</v>
      </c>
      <c r="N48" s="167">
        <f t="shared" si="17"/>
        <v>210</v>
      </c>
      <c r="O48" s="167">
        <f t="shared" si="17"/>
        <v>410</v>
      </c>
      <c r="P48" s="167">
        <f t="shared" si="17"/>
        <v>0</v>
      </c>
      <c r="Q48" s="167">
        <f t="shared" si="17"/>
        <v>0</v>
      </c>
      <c r="R48" s="167">
        <f t="shared" si="17"/>
        <v>0</v>
      </c>
      <c r="S48" s="167">
        <f t="shared" si="17"/>
        <v>0</v>
      </c>
      <c r="T48" s="167">
        <f t="shared" si="17"/>
        <v>0</v>
      </c>
      <c r="U48" s="167">
        <f t="shared" si="17"/>
        <v>0</v>
      </c>
      <c r="V48" s="167">
        <f t="shared" si="17"/>
        <v>0</v>
      </c>
      <c r="W48" s="287">
        <f t="shared" si="17"/>
        <v>0</v>
      </c>
      <c r="X48" s="168"/>
    </row>
    <row r="49" spans="1:24" s="150" customFormat="1" ht="18" customHeight="1">
      <c r="A49" s="325"/>
      <c r="B49" s="337" t="str">
        <f>B102</f>
        <v>Filtrų pastato paprastasis remontas pakeičiant technologinę įrangą</v>
      </c>
      <c r="C49" s="138"/>
      <c r="D49" s="139"/>
      <c r="E49" s="140"/>
      <c r="F49" s="141"/>
      <c r="G49" s="141"/>
      <c r="H49" s="141"/>
      <c r="I49" s="143"/>
      <c r="J49" s="144">
        <f aca="true" t="shared" si="18" ref="J49:W49">J102</f>
        <v>0</v>
      </c>
      <c r="K49" s="143">
        <f t="shared" si="18"/>
        <v>0</v>
      </c>
      <c r="L49" s="143">
        <f t="shared" si="18"/>
        <v>0</v>
      </c>
      <c r="M49" s="167">
        <f t="shared" si="18"/>
        <v>0</v>
      </c>
      <c r="N49" s="167">
        <f t="shared" si="18"/>
        <v>1100</v>
      </c>
      <c r="O49" s="167">
        <f t="shared" si="18"/>
        <v>1100</v>
      </c>
      <c r="P49" s="167">
        <f t="shared" si="18"/>
        <v>0</v>
      </c>
      <c r="Q49" s="167">
        <f t="shared" si="18"/>
        <v>0</v>
      </c>
      <c r="R49" s="167">
        <f t="shared" si="18"/>
        <v>1100</v>
      </c>
      <c r="S49" s="167">
        <f t="shared" si="18"/>
        <v>0</v>
      </c>
      <c r="T49" s="167">
        <f t="shared" si="18"/>
        <v>1100</v>
      </c>
      <c r="U49" s="167">
        <f t="shared" si="18"/>
        <v>0</v>
      </c>
      <c r="V49" s="167">
        <f t="shared" si="18"/>
        <v>0</v>
      </c>
      <c r="W49" s="287">
        <f t="shared" si="18"/>
        <v>0</v>
      </c>
      <c r="X49" s="168"/>
    </row>
    <row r="50" spans="1:24" s="150" customFormat="1" ht="36" customHeight="1">
      <c r="A50" s="325"/>
      <c r="B50" s="337" t="str">
        <f>B118</f>
        <v>Geriamojo vandens  2-o kėlimo pasiurbimo linijų keitimas</v>
      </c>
      <c r="C50" s="138"/>
      <c r="D50" s="139"/>
      <c r="E50" s="140"/>
      <c r="F50" s="141"/>
      <c r="G50" s="141"/>
      <c r="H50" s="141"/>
      <c r="I50" s="143"/>
      <c r="J50" s="144">
        <f aca="true" t="shared" si="19" ref="J50:W50">J118</f>
        <v>0</v>
      </c>
      <c r="K50" s="143">
        <f t="shared" si="19"/>
        <v>0</v>
      </c>
      <c r="L50" s="143">
        <f t="shared" si="19"/>
        <v>0</v>
      </c>
      <c r="M50" s="167">
        <f t="shared" si="19"/>
        <v>0</v>
      </c>
      <c r="N50" s="167">
        <f t="shared" si="19"/>
        <v>0</v>
      </c>
      <c r="O50" s="167">
        <f t="shared" si="19"/>
        <v>0</v>
      </c>
      <c r="P50" s="167">
        <f t="shared" si="19"/>
        <v>0</v>
      </c>
      <c r="Q50" s="167">
        <f t="shared" si="19"/>
        <v>0</v>
      </c>
      <c r="R50" s="167">
        <f t="shared" si="19"/>
        <v>0</v>
      </c>
      <c r="S50" s="167">
        <f t="shared" si="19"/>
        <v>0</v>
      </c>
      <c r="T50" s="167">
        <f t="shared" si="19"/>
        <v>0</v>
      </c>
      <c r="U50" s="167">
        <f t="shared" si="19"/>
        <v>0</v>
      </c>
      <c r="V50" s="167">
        <f t="shared" si="19"/>
        <v>1000</v>
      </c>
      <c r="W50" s="287">
        <f t="shared" si="19"/>
        <v>0</v>
      </c>
      <c r="X50" s="168"/>
    </row>
    <row r="51" spans="1:24" s="150" customFormat="1" ht="21" customHeight="1">
      <c r="A51" s="325"/>
      <c r="B51" s="337"/>
      <c r="C51" s="138"/>
      <c r="D51" s="139"/>
      <c r="E51" s="140"/>
      <c r="F51" s="141"/>
      <c r="G51" s="141"/>
      <c r="H51" s="141"/>
      <c r="I51" s="143"/>
      <c r="J51" s="144"/>
      <c r="K51" s="143"/>
      <c r="L51" s="143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287"/>
      <c r="X51" s="168"/>
    </row>
    <row r="52" spans="1:24" s="150" customFormat="1" ht="18" customHeight="1">
      <c r="A52" s="325"/>
      <c r="B52" s="336"/>
      <c r="C52" s="138"/>
      <c r="D52" s="139"/>
      <c r="E52" s="140"/>
      <c r="F52" s="141"/>
      <c r="G52" s="141"/>
      <c r="H52" s="141"/>
      <c r="I52" s="143"/>
      <c r="J52" s="144"/>
      <c r="K52" s="143"/>
      <c r="L52" s="143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287"/>
      <c r="X52" s="168"/>
    </row>
    <row r="53" spans="1:24" s="150" customFormat="1" ht="18" customHeight="1">
      <c r="A53" s="325"/>
      <c r="B53" s="335" t="s">
        <v>44</v>
      </c>
      <c r="C53" s="138"/>
      <c r="D53" s="139"/>
      <c r="E53" s="140"/>
      <c r="F53" s="141"/>
      <c r="G53" s="141"/>
      <c r="H53" s="141"/>
      <c r="I53" s="143"/>
      <c r="J53" s="144"/>
      <c r="K53" s="143"/>
      <c r="L53" s="143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287"/>
      <c r="X53" s="168"/>
    </row>
    <row r="54" spans="1:24" s="150" customFormat="1" ht="18" customHeight="1">
      <c r="A54" s="325"/>
      <c r="B54" s="327"/>
      <c r="C54" s="138"/>
      <c r="D54" s="139"/>
      <c r="E54" s="140"/>
      <c r="F54" s="141"/>
      <c r="G54" s="141"/>
      <c r="H54" s="141"/>
      <c r="I54" s="143"/>
      <c r="J54" s="144"/>
      <c r="K54" s="143"/>
      <c r="L54" s="143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287"/>
      <c r="X54" s="168"/>
    </row>
    <row r="55" spans="1:24" s="150" customFormat="1" ht="18" customHeight="1">
      <c r="A55" s="325"/>
      <c r="B55" s="165"/>
      <c r="C55" s="138"/>
      <c r="D55" s="139"/>
      <c r="E55" s="140"/>
      <c r="F55" s="141"/>
      <c r="G55" s="141"/>
      <c r="H55" s="141"/>
      <c r="I55" s="143"/>
      <c r="J55" s="144"/>
      <c r="K55" s="143"/>
      <c r="L55" s="143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287"/>
      <c r="X55" s="168"/>
    </row>
    <row r="56" spans="1:25" s="150" customFormat="1" ht="18" customHeight="1">
      <c r="A56" s="325"/>
      <c r="B56" s="165"/>
      <c r="C56" s="138"/>
      <c r="D56" s="139"/>
      <c r="E56" s="140"/>
      <c r="F56" s="141"/>
      <c r="G56" s="141"/>
      <c r="H56" s="141"/>
      <c r="I56" s="143"/>
      <c r="J56" s="144"/>
      <c r="K56" s="143"/>
      <c r="L56" s="143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287"/>
      <c r="X56" s="168"/>
      <c r="Y56" s="169"/>
    </row>
    <row r="57" spans="1:24" s="150" customFormat="1" ht="18" customHeight="1">
      <c r="A57" s="325" t="s">
        <v>172</v>
      </c>
      <c r="B57" s="165" t="s">
        <v>83</v>
      </c>
      <c r="C57" s="138"/>
      <c r="D57" s="139"/>
      <c r="E57" s="140"/>
      <c r="F57" s="141"/>
      <c r="G57" s="141"/>
      <c r="H57" s="141"/>
      <c r="I57" s="143"/>
      <c r="J57" s="144">
        <f>SUM(J64+J58)</f>
        <v>56</v>
      </c>
      <c r="K57" s="143">
        <f aca="true" t="shared" si="20" ref="K57:W57">SUM(K64+K58)</f>
        <v>0</v>
      </c>
      <c r="L57" s="143">
        <f t="shared" si="20"/>
        <v>0</v>
      </c>
      <c r="M57" s="167">
        <f t="shared" si="20"/>
        <v>45</v>
      </c>
      <c r="N57" s="167">
        <f t="shared" si="20"/>
        <v>220</v>
      </c>
      <c r="O57" s="167">
        <f t="shared" si="20"/>
        <v>265</v>
      </c>
      <c r="P57" s="167">
        <f t="shared" si="20"/>
        <v>0</v>
      </c>
      <c r="Q57" s="167">
        <f t="shared" si="20"/>
        <v>120</v>
      </c>
      <c r="R57" s="167">
        <f t="shared" si="20"/>
        <v>135</v>
      </c>
      <c r="S57" s="167">
        <f t="shared" si="20"/>
        <v>315</v>
      </c>
      <c r="T57" s="167">
        <f t="shared" si="20"/>
        <v>570</v>
      </c>
      <c r="U57" s="167">
        <f t="shared" si="20"/>
        <v>1630</v>
      </c>
      <c r="V57" s="167">
        <f t="shared" si="20"/>
        <v>2130</v>
      </c>
      <c r="W57" s="287">
        <f t="shared" si="20"/>
        <v>630</v>
      </c>
      <c r="X57" s="168">
        <f>O57+T57+U57+V57+W57</f>
        <v>5225</v>
      </c>
    </row>
    <row r="58" spans="1:24" s="150" customFormat="1" ht="18" customHeight="1">
      <c r="A58" s="325"/>
      <c r="B58" s="335" t="s">
        <v>46</v>
      </c>
      <c r="C58" s="138"/>
      <c r="D58" s="139"/>
      <c r="E58" s="140"/>
      <c r="F58" s="141"/>
      <c r="G58" s="141"/>
      <c r="H58" s="141"/>
      <c r="I58" s="143"/>
      <c r="J58" s="144">
        <f>J59</f>
        <v>0</v>
      </c>
      <c r="K58" s="143">
        <f aca="true" t="shared" si="21" ref="K58:W58">K59</f>
        <v>0</v>
      </c>
      <c r="L58" s="143">
        <f t="shared" si="21"/>
        <v>0</v>
      </c>
      <c r="M58" s="167">
        <f t="shared" si="21"/>
        <v>0</v>
      </c>
      <c r="N58" s="167">
        <f t="shared" si="21"/>
        <v>120</v>
      </c>
      <c r="O58" s="167">
        <f t="shared" si="21"/>
        <v>120</v>
      </c>
      <c r="P58" s="167">
        <f t="shared" si="21"/>
        <v>0</v>
      </c>
      <c r="Q58" s="167">
        <f t="shared" si="21"/>
        <v>90</v>
      </c>
      <c r="R58" s="167">
        <f t="shared" si="21"/>
        <v>0</v>
      </c>
      <c r="S58" s="167">
        <f t="shared" si="21"/>
        <v>90</v>
      </c>
      <c r="T58" s="167">
        <f t="shared" si="21"/>
        <v>180</v>
      </c>
      <c r="U58" s="167">
        <f t="shared" si="21"/>
        <v>180</v>
      </c>
      <c r="V58" s="167">
        <f t="shared" si="21"/>
        <v>180</v>
      </c>
      <c r="W58" s="287">
        <f t="shared" si="21"/>
        <v>90</v>
      </c>
      <c r="X58" s="168"/>
    </row>
    <row r="59" spans="1:24" s="150" customFormat="1" ht="18" customHeight="1">
      <c r="A59" s="325"/>
      <c r="B59" s="327" t="s">
        <v>389</v>
      </c>
      <c r="C59" s="138"/>
      <c r="D59" s="139"/>
      <c r="E59" s="140"/>
      <c r="F59" s="141"/>
      <c r="G59" s="141"/>
      <c r="H59" s="141"/>
      <c r="I59" s="143"/>
      <c r="J59" s="677">
        <f>J125+J130+J132</f>
        <v>0</v>
      </c>
      <c r="K59" s="143">
        <f aca="true" t="shared" si="22" ref="K59:W59">K125+K130+K132</f>
        <v>0</v>
      </c>
      <c r="L59" s="143">
        <f t="shared" si="22"/>
        <v>0</v>
      </c>
      <c r="M59" s="167">
        <f t="shared" si="22"/>
        <v>0</v>
      </c>
      <c r="N59" s="167">
        <f t="shared" si="22"/>
        <v>120</v>
      </c>
      <c r="O59" s="167">
        <f t="shared" si="22"/>
        <v>120</v>
      </c>
      <c r="P59" s="167">
        <f t="shared" si="22"/>
        <v>0</v>
      </c>
      <c r="Q59" s="167">
        <f t="shared" si="22"/>
        <v>90</v>
      </c>
      <c r="R59" s="167">
        <f t="shared" si="22"/>
        <v>0</v>
      </c>
      <c r="S59" s="167">
        <f t="shared" si="22"/>
        <v>90</v>
      </c>
      <c r="T59" s="167">
        <f t="shared" si="22"/>
        <v>180</v>
      </c>
      <c r="U59" s="167">
        <f t="shared" si="22"/>
        <v>180</v>
      </c>
      <c r="V59" s="167">
        <f t="shared" si="22"/>
        <v>180</v>
      </c>
      <c r="W59" s="287">
        <f t="shared" si="22"/>
        <v>90</v>
      </c>
      <c r="X59" s="168"/>
    </row>
    <row r="60" spans="1:24" s="150" customFormat="1" ht="18" customHeight="1">
      <c r="A60" s="325"/>
      <c r="B60" s="327"/>
      <c r="C60" s="138"/>
      <c r="D60" s="139"/>
      <c r="E60" s="140"/>
      <c r="F60" s="141"/>
      <c r="G60" s="141"/>
      <c r="H60" s="141"/>
      <c r="I60" s="143"/>
      <c r="J60" s="144"/>
      <c r="K60" s="143"/>
      <c r="L60" s="143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287"/>
      <c r="X60" s="168"/>
    </row>
    <row r="61" spans="1:24" s="150" customFormat="1" ht="18" customHeight="1">
      <c r="A61" s="325"/>
      <c r="B61" s="326"/>
      <c r="C61" s="138"/>
      <c r="D61" s="139"/>
      <c r="E61" s="140"/>
      <c r="F61" s="141"/>
      <c r="G61" s="141"/>
      <c r="H61" s="141"/>
      <c r="I61" s="143"/>
      <c r="J61" s="144"/>
      <c r="K61" s="143"/>
      <c r="L61" s="143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287"/>
      <c r="X61" s="168"/>
    </row>
    <row r="62" spans="1:24" s="150" customFormat="1" ht="18" customHeight="1">
      <c r="A62" s="325"/>
      <c r="B62" s="326"/>
      <c r="C62" s="138"/>
      <c r="D62" s="139"/>
      <c r="E62" s="140"/>
      <c r="F62" s="141"/>
      <c r="G62" s="141"/>
      <c r="H62" s="141"/>
      <c r="I62" s="143"/>
      <c r="J62" s="144"/>
      <c r="K62" s="143"/>
      <c r="L62" s="143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287"/>
      <c r="X62" s="168"/>
    </row>
    <row r="63" spans="1:24" s="150" customFormat="1" ht="18" customHeight="1">
      <c r="A63" s="325"/>
      <c r="B63" s="326"/>
      <c r="C63" s="138"/>
      <c r="D63" s="139"/>
      <c r="E63" s="140"/>
      <c r="F63" s="141"/>
      <c r="G63" s="141"/>
      <c r="H63" s="141"/>
      <c r="I63" s="143"/>
      <c r="J63" s="144"/>
      <c r="K63" s="143"/>
      <c r="L63" s="143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287"/>
      <c r="X63" s="168"/>
    </row>
    <row r="64" spans="1:24" s="150" customFormat="1" ht="18" customHeight="1">
      <c r="A64" s="325"/>
      <c r="B64" s="335" t="s">
        <v>44</v>
      </c>
      <c r="C64" s="138"/>
      <c r="D64" s="139"/>
      <c r="E64" s="140"/>
      <c r="F64" s="141"/>
      <c r="G64" s="141"/>
      <c r="H64" s="141"/>
      <c r="I64" s="143"/>
      <c r="J64" s="144">
        <f>SUM(J65:J68)</f>
        <v>56</v>
      </c>
      <c r="K64" s="143">
        <f aca="true" t="shared" si="23" ref="K64:W64">SUM(K65:K68)</f>
        <v>0</v>
      </c>
      <c r="L64" s="143">
        <f t="shared" si="23"/>
        <v>0</v>
      </c>
      <c r="M64" s="167">
        <f t="shared" si="23"/>
        <v>45</v>
      </c>
      <c r="N64" s="167">
        <f t="shared" si="23"/>
        <v>100</v>
      </c>
      <c r="O64" s="167">
        <f t="shared" si="23"/>
        <v>145</v>
      </c>
      <c r="P64" s="167">
        <f t="shared" si="23"/>
        <v>0</v>
      </c>
      <c r="Q64" s="167">
        <f t="shared" si="23"/>
        <v>30</v>
      </c>
      <c r="R64" s="167">
        <f t="shared" si="23"/>
        <v>135</v>
      </c>
      <c r="S64" s="167">
        <f t="shared" si="23"/>
        <v>225</v>
      </c>
      <c r="T64" s="167">
        <f t="shared" si="23"/>
        <v>390</v>
      </c>
      <c r="U64" s="167">
        <f t="shared" si="23"/>
        <v>1450</v>
      </c>
      <c r="V64" s="167">
        <f t="shared" si="23"/>
        <v>1950</v>
      </c>
      <c r="W64" s="287">
        <f t="shared" si="23"/>
        <v>540</v>
      </c>
      <c r="X64" s="168"/>
    </row>
    <row r="65" spans="1:24" s="150" customFormat="1" ht="17.25" customHeight="1">
      <c r="A65" s="325"/>
      <c r="B65" s="327" t="s">
        <v>177</v>
      </c>
      <c r="C65" s="138"/>
      <c r="D65" s="139"/>
      <c r="E65" s="140"/>
      <c r="F65" s="141"/>
      <c r="G65" s="141"/>
      <c r="H65" s="141"/>
      <c r="I65" s="143"/>
      <c r="J65" s="144">
        <f>J126+J131</f>
        <v>0</v>
      </c>
      <c r="K65" s="143">
        <f aca="true" t="shared" si="24" ref="K65:W65">K126+K131</f>
        <v>0</v>
      </c>
      <c r="L65" s="143">
        <f t="shared" si="24"/>
        <v>0</v>
      </c>
      <c r="M65" s="167">
        <f t="shared" si="24"/>
        <v>0</v>
      </c>
      <c r="N65" s="167">
        <f t="shared" si="24"/>
        <v>100</v>
      </c>
      <c r="O65" s="167">
        <f t="shared" si="24"/>
        <v>100</v>
      </c>
      <c r="P65" s="167">
        <f t="shared" si="24"/>
        <v>0</v>
      </c>
      <c r="Q65" s="167">
        <f t="shared" si="24"/>
        <v>0</v>
      </c>
      <c r="R65" s="167">
        <f t="shared" si="24"/>
        <v>0</v>
      </c>
      <c r="S65" s="167">
        <f t="shared" si="24"/>
        <v>75</v>
      </c>
      <c r="T65" s="167">
        <f t="shared" si="24"/>
        <v>75</v>
      </c>
      <c r="U65" s="167">
        <f t="shared" si="24"/>
        <v>75</v>
      </c>
      <c r="V65" s="167">
        <f t="shared" si="24"/>
        <v>75</v>
      </c>
      <c r="W65" s="287">
        <f t="shared" si="24"/>
        <v>0</v>
      </c>
      <c r="X65" s="168"/>
    </row>
    <row r="66" spans="1:24" s="150" customFormat="1" ht="17.25" customHeight="1">
      <c r="A66" s="325"/>
      <c r="B66" s="327" t="s">
        <v>390</v>
      </c>
      <c r="C66" s="138"/>
      <c r="D66" s="139"/>
      <c r="E66" s="140"/>
      <c r="F66" s="141"/>
      <c r="G66" s="141"/>
      <c r="H66" s="141"/>
      <c r="I66" s="143"/>
      <c r="J66" s="144">
        <f>J127+J128</f>
        <v>0</v>
      </c>
      <c r="K66" s="143">
        <f aca="true" t="shared" si="25" ref="K66:W66">K127+K128</f>
        <v>0</v>
      </c>
      <c r="L66" s="143">
        <f t="shared" si="25"/>
        <v>0</v>
      </c>
      <c r="M66" s="167">
        <f t="shared" si="25"/>
        <v>45</v>
      </c>
      <c r="N66" s="167">
        <f t="shared" si="25"/>
        <v>0</v>
      </c>
      <c r="O66" s="167">
        <f t="shared" si="25"/>
        <v>45</v>
      </c>
      <c r="P66" s="167">
        <f t="shared" si="25"/>
        <v>0</v>
      </c>
      <c r="Q66" s="167">
        <f t="shared" si="25"/>
        <v>30</v>
      </c>
      <c r="R66" s="167">
        <f t="shared" si="25"/>
        <v>0</v>
      </c>
      <c r="S66" s="167">
        <f t="shared" si="25"/>
        <v>150</v>
      </c>
      <c r="T66" s="167">
        <f t="shared" si="25"/>
        <v>180</v>
      </c>
      <c r="U66" s="167">
        <f t="shared" si="25"/>
        <v>0</v>
      </c>
      <c r="V66" s="167">
        <f t="shared" si="25"/>
        <v>0</v>
      </c>
      <c r="W66" s="287">
        <f t="shared" si="25"/>
        <v>0</v>
      </c>
      <c r="X66" s="168"/>
    </row>
    <row r="67" spans="1:24" s="150" customFormat="1" ht="18" customHeight="1">
      <c r="A67" s="325"/>
      <c r="B67" s="327" t="str">
        <f>B88</f>
        <v>Priekulės vandenvietė (naujos įkūrimas)</v>
      </c>
      <c r="C67" s="138"/>
      <c r="D67" s="139"/>
      <c r="E67" s="140"/>
      <c r="F67" s="141"/>
      <c r="G67" s="141"/>
      <c r="H67" s="141"/>
      <c r="I67" s="143"/>
      <c r="J67" s="144">
        <f aca="true" t="shared" si="26" ref="J67:W67">J88</f>
        <v>56</v>
      </c>
      <c r="K67" s="143">
        <f t="shared" si="26"/>
        <v>0</v>
      </c>
      <c r="L67" s="143">
        <f t="shared" si="26"/>
        <v>0</v>
      </c>
      <c r="M67" s="167">
        <f t="shared" si="26"/>
        <v>0</v>
      </c>
      <c r="N67" s="167">
        <f t="shared" si="26"/>
        <v>0</v>
      </c>
      <c r="O67" s="167">
        <f t="shared" si="26"/>
        <v>0</v>
      </c>
      <c r="P67" s="167">
        <f t="shared" si="26"/>
        <v>0</v>
      </c>
      <c r="Q67" s="167">
        <f t="shared" si="26"/>
        <v>0</v>
      </c>
      <c r="R67" s="167">
        <f t="shared" si="26"/>
        <v>0</v>
      </c>
      <c r="S67" s="167">
        <f t="shared" si="26"/>
        <v>0</v>
      </c>
      <c r="T67" s="167">
        <f t="shared" si="26"/>
        <v>0</v>
      </c>
      <c r="U67" s="167">
        <f t="shared" si="26"/>
        <v>700</v>
      </c>
      <c r="V67" s="167">
        <f t="shared" si="26"/>
        <v>1200</v>
      </c>
      <c r="W67" s="287">
        <f t="shared" si="26"/>
        <v>0</v>
      </c>
      <c r="X67" s="168"/>
    </row>
    <row r="68" spans="1:24" s="150" customFormat="1" ht="18" customHeight="1">
      <c r="A68" s="325"/>
      <c r="B68" s="327" t="s">
        <v>80</v>
      </c>
      <c r="C68" s="138"/>
      <c r="D68" s="139"/>
      <c r="E68" s="140"/>
      <c r="F68" s="141"/>
      <c r="G68" s="141"/>
      <c r="H68" s="141"/>
      <c r="I68" s="143"/>
      <c r="J68" s="144">
        <f>J133+J136+J139</f>
        <v>0</v>
      </c>
      <c r="K68" s="143">
        <f aca="true" t="shared" si="27" ref="K68:W68">K133+K136+K139</f>
        <v>0</v>
      </c>
      <c r="L68" s="143">
        <f t="shared" si="27"/>
        <v>0</v>
      </c>
      <c r="M68" s="167">
        <f t="shared" si="27"/>
        <v>0</v>
      </c>
      <c r="N68" s="167">
        <f t="shared" si="27"/>
        <v>0</v>
      </c>
      <c r="O68" s="167">
        <f t="shared" si="27"/>
        <v>0</v>
      </c>
      <c r="P68" s="167">
        <f t="shared" si="27"/>
        <v>0</v>
      </c>
      <c r="Q68" s="167">
        <f t="shared" si="27"/>
        <v>0</v>
      </c>
      <c r="R68" s="167">
        <f t="shared" si="27"/>
        <v>135</v>
      </c>
      <c r="S68" s="167">
        <f t="shared" si="27"/>
        <v>0</v>
      </c>
      <c r="T68" s="167">
        <f t="shared" si="27"/>
        <v>135</v>
      </c>
      <c r="U68" s="167">
        <f t="shared" si="27"/>
        <v>675</v>
      </c>
      <c r="V68" s="167">
        <f t="shared" si="27"/>
        <v>675</v>
      </c>
      <c r="W68" s="287">
        <f t="shared" si="27"/>
        <v>540</v>
      </c>
      <c r="X68" s="168"/>
    </row>
    <row r="69" spans="1:24" s="150" customFormat="1" ht="18" customHeight="1">
      <c r="A69" s="894"/>
      <c r="B69" s="895"/>
      <c r="C69" s="204"/>
      <c r="D69" s="115"/>
      <c r="E69" s="205"/>
      <c r="F69" s="206"/>
      <c r="G69" s="206"/>
      <c r="H69" s="206"/>
      <c r="I69" s="207"/>
      <c r="J69" s="208">
        <f>J70+J81+J85+J87+J91+J93++J121+J124+J129+J133+J136+J139</f>
        <v>1838</v>
      </c>
      <c r="K69" s="207">
        <f aca="true" t="shared" si="28" ref="K69:W69">K70+K81+K85+K87+K91+K93++K121+K124+K129+K133+K136+K139</f>
        <v>0</v>
      </c>
      <c r="L69" s="207">
        <f t="shared" si="28"/>
        <v>98</v>
      </c>
      <c r="M69" s="207">
        <f t="shared" si="28"/>
        <v>2073</v>
      </c>
      <c r="N69" s="207">
        <f t="shared" si="28"/>
        <v>2736</v>
      </c>
      <c r="O69" s="207">
        <f t="shared" si="28"/>
        <v>4907</v>
      </c>
      <c r="P69" s="207">
        <f t="shared" si="28"/>
        <v>0</v>
      </c>
      <c r="Q69" s="207">
        <f t="shared" si="28"/>
        <v>181</v>
      </c>
      <c r="R69" s="207">
        <f t="shared" si="28"/>
        <v>2191</v>
      </c>
      <c r="S69" s="207">
        <f t="shared" si="28"/>
        <v>331</v>
      </c>
      <c r="T69" s="207">
        <f t="shared" si="28"/>
        <v>2703</v>
      </c>
      <c r="U69" s="207">
        <f t="shared" si="28"/>
        <v>4407</v>
      </c>
      <c r="V69" s="207">
        <f t="shared" si="28"/>
        <v>5668</v>
      </c>
      <c r="W69" s="208">
        <f t="shared" si="28"/>
        <v>1194</v>
      </c>
      <c r="X69" s="168">
        <f>SUM(O69+T69+U69+V69+W69)</f>
        <v>18879</v>
      </c>
    </row>
    <row r="70" spans="1:26" ht="12.75" customHeight="1">
      <c r="A70" s="202" t="s">
        <v>66</v>
      </c>
      <c r="B70" s="203" t="s">
        <v>84</v>
      </c>
      <c r="C70" s="204"/>
      <c r="D70" s="115"/>
      <c r="E70" s="205"/>
      <c r="F70" s="206"/>
      <c r="G70" s="206"/>
      <c r="H70" s="206"/>
      <c r="I70" s="207"/>
      <c r="J70" s="208">
        <f aca="true" t="shared" si="29" ref="J70:O70">SUM(J72:J80)</f>
        <v>0</v>
      </c>
      <c r="K70" s="209">
        <f t="shared" si="29"/>
        <v>0</v>
      </c>
      <c r="L70" s="209">
        <f t="shared" si="29"/>
        <v>0</v>
      </c>
      <c r="M70" s="209">
        <f t="shared" si="29"/>
        <v>195</v>
      </c>
      <c r="N70" s="209">
        <f t="shared" si="29"/>
        <v>15</v>
      </c>
      <c r="O70" s="209">
        <f t="shared" si="29"/>
        <v>210</v>
      </c>
      <c r="P70" s="209">
        <f aca="true" t="shared" si="30" ref="P70:W70">SUM(P72:P80)</f>
        <v>0</v>
      </c>
      <c r="Q70" s="209">
        <f t="shared" si="30"/>
        <v>0</v>
      </c>
      <c r="R70" s="209">
        <f t="shared" si="30"/>
        <v>120</v>
      </c>
      <c r="S70" s="209">
        <f t="shared" si="30"/>
        <v>15</v>
      </c>
      <c r="T70" s="209">
        <f t="shared" si="30"/>
        <v>135</v>
      </c>
      <c r="U70" s="209">
        <f t="shared" si="30"/>
        <v>110</v>
      </c>
      <c r="V70" s="209">
        <f t="shared" si="30"/>
        <v>35</v>
      </c>
      <c r="W70" s="218">
        <f t="shared" si="30"/>
        <v>385</v>
      </c>
      <c r="X70" s="168">
        <f aca="true" t="shared" si="31" ref="X70:X133">O70+T70+U70+V70+W70</f>
        <v>875</v>
      </c>
      <c r="Y70" s="173" t="s">
        <v>85</v>
      </c>
      <c r="Z70" s="174"/>
    </row>
    <row r="71" spans="1:26" ht="12.75" customHeight="1">
      <c r="A71" s="202"/>
      <c r="B71" s="203"/>
      <c r="C71" s="204"/>
      <c r="D71" s="115"/>
      <c r="E71" s="205"/>
      <c r="F71" s="206"/>
      <c r="G71" s="206"/>
      <c r="H71" s="206"/>
      <c r="I71" s="207"/>
      <c r="J71" s="208"/>
      <c r="K71" s="209"/>
      <c r="L71" s="210"/>
      <c r="M71" s="210"/>
      <c r="N71" s="210"/>
      <c r="O71" s="209"/>
      <c r="P71" s="209"/>
      <c r="Q71" s="210"/>
      <c r="R71" s="210"/>
      <c r="S71" s="210"/>
      <c r="T71" s="209"/>
      <c r="U71" s="209"/>
      <c r="V71" s="209"/>
      <c r="W71" s="218"/>
      <c r="X71" s="168"/>
      <c r="Y71" s="173"/>
      <c r="Z71" s="174"/>
    </row>
    <row r="72" spans="1:26" ht="30" customHeight="1">
      <c r="A72" s="211" t="s">
        <v>86</v>
      </c>
      <c r="B72" s="212" t="s">
        <v>87</v>
      </c>
      <c r="C72" s="204"/>
      <c r="D72" s="115"/>
      <c r="E72" s="205"/>
      <c r="F72" s="206"/>
      <c r="G72" s="206"/>
      <c r="H72" s="206"/>
      <c r="I72" s="207"/>
      <c r="J72" s="208"/>
      <c r="K72" s="213"/>
      <c r="L72" s="214"/>
      <c r="M72" s="214">
        <v>30</v>
      </c>
      <c r="N72" s="215">
        <v>15</v>
      </c>
      <c r="O72" s="209">
        <f aca="true" t="shared" si="32" ref="O72:O79">SUM(K72:N72)</f>
        <v>45</v>
      </c>
      <c r="P72" s="216"/>
      <c r="Q72" s="206"/>
      <c r="R72" s="206"/>
      <c r="S72" s="217">
        <v>15</v>
      </c>
      <c r="T72" s="209">
        <f>SUM(P72:S72)</f>
        <v>15</v>
      </c>
      <c r="U72" s="218">
        <v>15</v>
      </c>
      <c r="V72" s="209">
        <v>15</v>
      </c>
      <c r="W72" s="218">
        <v>15</v>
      </c>
      <c r="X72" s="168">
        <f t="shared" si="31"/>
        <v>105</v>
      </c>
      <c r="Y72" s="176" t="s">
        <v>58</v>
      </c>
      <c r="Z72" s="177" t="e">
        <f>X72+X73+X74+X75+X77+X78+X79+X80+X82+X83+X84+X92+X94+X96+X97+X98+X99+X100+X101+X103+X104+X105+X106+X107+X111+X112+X113+X114+X118+#REF!+X119+X122+X123+X125+X126+X130+X131+X132</f>
        <v>#REF!</v>
      </c>
    </row>
    <row r="73" spans="1:26" ht="30" customHeight="1">
      <c r="A73" s="211" t="s">
        <v>88</v>
      </c>
      <c r="B73" s="212" t="s">
        <v>89</v>
      </c>
      <c r="C73" s="204"/>
      <c r="D73" s="115"/>
      <c r="E73" s="205"/>
      <c r="F73" s="206"/>
      <c r="G73" s="206"/>
      <c r="H73" s="206"/>
      <c r="I73" s="207"/>
      <c r="J73" s="208"/>
      <c r="K73" s="219"/>
      <c r="L73" s="220"/>
      <c r="M73" s="220"/>
      <c r="N73" s="221"/>
      <c r="O73" s="209">
        <f t="shared" si="32"/>
        <v>0</v>
      </c>
      <c r="P73" s="216"/>
      <c r="Q73" s="206"/>
      <c r="R73" s="206"/>
      <c r="S73" s="217"/>
      <c r="T73" s="209">
        <f aca="true" t="shared" si="33" ref="T73:T80">SUM(P73:S73)</f>
        <v>0</v>
      </c>
      <c r="U73" s="218"/>
      <c r="V73" s="209"/>
      <c r="W73" s="218"/>
      <c r="X73" s="168">
        <f t="shared" si="31"/>
        <v>0</v>
      </c>
      <c r="Y73" s="176" t="s">
        <v>59</v>
      </c>
      <c r="Z73" s="177">
        <f>X102+X109+X110+X115+X116+X117</f>
        <v>2290</v>
      </c>
    </row>
    <row r="74" spans="1:26" ht="30" customHeight="1">
      <c r="A74" s="211" t="s">
        <v>90</v>
      </c>
      <c r="B74" s="212" t="s">
        <v>91</v>
      </c>
      <c r="C74" s="204"/>
      <c r="D74" s="115"/>
      <c r="E74" s="205"/>
      <c r="F74" s="206"/>
      <c r="G74" s="206"/>
      <c r="H74" s="206"/>
      <c r="I74" s="207"/>
      <c r="J74" s="208"/>
      <c r="K74" s="222"/>
      <c r="L74" s="220"/>
      <c r="M74" s="220"/>
      <c r="N74" s="223"/>
      <c r="O74" s="209">
        <f t="shared" si="32"/>
        <v>0</v>
      </c>
      <c r="P74" s="216"/>
      <c r="Q74" s="206"/>
      <c r="R74" s="206"/>
      <c r="S74" s="217"/>
      <c r="T74" s="209">
        <f t="shared" si="33"/>
        <v>0</v>
      </c>
      <c r="U74" s="218">
        <v>75</v>
      </c>
      <c r="V74" s="209"/>
      <c r="W74" s="218"/>
      <c r="X74" s="168">
        <f t="shared" si="31"/>
        <v>75</v>
      </c>
      <c r="Y74" s="176" t="s">
        <v>60</v>
      </c>
      <c r="Z74" s="177">
        <f>X76+X86+X95</f>
        <v>1648</v>
      </c>
    </row>
    <row r="75" spans="1:26" ht="30" customHeight="1">
      <c r="A75" s="211" t="s">
        <v>92</v>
      </c>
      <c r="B75" s="212" t="s">
        <v>93</v>
      </c>
      <c r="C75" s="204"/>
      <c r="D75" s="115"/>
      <c r="E75" s="205"/>
      <c r="F75" s="206"/>
      <c r="G75" s="206"/>
      <c r="H75" s="206"/>
      <c r="I75" s="207"/>
      <c r="J75" s="208"/>
      <c r="K75" s="219"/>
      <c r="L75" s="220"/>
      <c r="M75" s="220">
        <v>20</v>
      </c>
      <c r="N75" s="221"/>
      <c r="O75" s="209">
        <f t="shared" si="32"/>
        <v>20</v>
      </c>
      <c r="P75" s="216"/>
      <c r="Q75" s="206"/>
      <c r="R75" s="206">
        <v>40</v>
      </c>
      <c r="S75" s="217"/>
      <c r="T75" s="209">
        <f t="shared" si="33"/>
        <v>40</v>
      </c>
      <c r="U75" s="218">
        <v>20</v>
      </c>
      <c r="V75" s="209">
        <v>20</v>
      </c>
      <c r="W75" s="218">
        <v>20</v>
      </c>
      <c r="X75" s="168">
        <f t="shared" si="31"/>
        <v>120</v>
      </c>
      <c r="Y75" s="178" t="s">
        <v>94</v>
      </c>
      <c r="Z75" s="179"/>
    </row>
    <row r="76" spans="1:26" ht="30" customHeight="1">
      <c r="A76" s="211" t="s">
        <v>95</v>
      </c>
      <c r="B76" s="212" t="s">
        <v>96</v>
      </c>
      <c r="C76" s="204"/>
      <c r="D76" s="115"/>
      <c r="E76" s="205"/>
      <c r="F76" s="206"/>
      <c r="G76" s="206"/>
      <c r="H76" s="206"/>
      <c r="I76" s="207"/>
      <c r="J76" s="208"/>
      <c r="K76" s="219"/>
      <c r="L76" s="220"/>
      <c r="M76" s="220">
        <v>80</v>
      </c>
      <c r="N76" s="221"/>
      <c r="O76" s="209">
        <f t="shared" si="32"/>
        <v>80</v>
      </c>
      <c r="P76" s="216"/>
      <c r="Q76" s="206"/>
      <c r="R76" s="206">
        <v>50</v>
      </c>
      <c r="S76" s="217"/>
      <c r="T76" s="209">
        <f t="shared" si="33"/>
        <v>50</v>
      </c>
      <c r="U76" s="218"/>
      <c r="V76" s="209"/>
      <c r="W76" s="218"/>
      <c r="X76" s="168">
        <f t="shared" si="31"/>
        <v>130</v>
      </c>
      <c r="Y76" s="180" t="s">
        <v>58</v>
      </c>
      <c r="Z76" s="181">
        <f>X88+X89</f>
        <v>1900</v>
      </c>
    </row>
    <row r="77" spans="1:26" ht="30" customHeight="1">
      <c r="A77" s="211" t="s">
        <v>97</v>
      </c>
      <c r="B77" s="212" t="s">
        <v>98</v>
      </c>
      <c r="C77" s="204"/>
      <c r="D77" s="115"/>
      <c r="E77" s="205"/>
      <c r="F77" s="206"/>
      <c r="G77" s="206"/>
      <c r="H77" s="206"/>
      <c r="I77" s="207"/>
      <c r="J77" s="208"/>
      <c r="K77" s="219"/>
      <c r="L77" s="220"/>
      <c r="M77" s="220">
        <v>30</v>
      </c>
      <c r="N77" s="221"/>
      <c r="O77" s="209">
        <f t="shared" si="32"/>
        <v>30</v>
      </c>
      <c r="P77" s="216"/>
      <c r="Q77" s="206"/>
      <c r="R77" s="206">
        <v>30</v>
      </c>
      <c r="S77" s="217"/>
      <c r="T77" s="209">
        <f t="shared" si="33"/>
        <v>30</v>
      </c>
      <c r="U77" s="218"/>
      <c r="V77" s="209"/>
      <c r="W77" s="218"/>
      <c r="X77" s="168">
        <f t="shared" si="31"/>
        <v>60</v>
      </c>
      <c r="Y77" s="180" t="s">
        <v>59</v>
      </c>
      <c r="Z77" s="181">
        <f>X127+X128+X134+X135+X137+X138+X140+X141</f>
        <v>2250</v>
      </c>
    </row>
    <row r="78" spans="1:26" ht="30" customHeight="1">
      <c r="A78" s="211" t="s">
        <v>99</v>
      </c>
      <c r="B78" s="212" t="s">
        <v>100</v>
      </c>
      <c r="C78" s="204"/>
      <c r="D78" s="115"/>
      <c r="E78" s="205"/>
      <c r="F78" s="206"/>
      <c r="G78" s="206"/>
      <c r="H78" s="206"/>
      <c r="I78" s="207"/>
      <c r="J78" s="208"/>
      <c r="K78" s="219"/>
      <c r="L78" s="220"/>
      <c r="M78" s="220">
        <v>35</v>
      </c>
      <c r="N78" s="221"/>
      <c r="O78" s="209">
        <f t="shared" si="32"/>
        <v>35</v>
      </c>
      <c r="P78" s="216"/>
      <c r="Q78" s="206"/>
      <c r="R78" s="206"/>
      <c r="S78" s="217"/>
      <c r="T78" s="209">
        <f t="shared" si="33"/>
        <v>0</v>
      </c>
      <c r="U78" s="218"/>
      <c r="V78" s="209"/>
      <c r="W78" s="218"/>
      <c r="X78" s="168">
        <f t="shared" si="31"/>
        <v>35</v>
      </c>
      <c r="Y78" s="180" t="s">
        <v>60</v>
      </c>
      <c r="Z78" s="179"/>
    </row>
    <row r="79" spans="1:26" ht="30" customHeight="1">
      <c r="A79" s="211" t="s">
        <v>101</v>
      </c>
      <c r="B79" s="212" t="s">
        <v>102</v>
      </c>
      <c r="C79" s="204"/>
      <c r="D79" s="115"/>
      <c r="E79" s="205"/>
      <c r="F79" s="206"/>
      <c r="G79" s="206"/>
      <c r="H79" s="206"/>
      <c r="I79" s="207"/>
      <c r="J79" s="208"/>
      <c r="K79" s="216"/>
      <c r="L79" s="206"/>
      <c r="M79" s="206"/>
      <c r="N79" s="217"/>
      <c r="O79" s="209">
        <f t="shared" si="32"/>
        <v>0</v>
      </c>
      <c r="P79" s="216"/>
      <c r="Q79" s="206"/>
      <c r="R79" s="206"/>
      <c r="S79" s="217"/>
      <c r="T79" s="209">
        <f t="shared" si="33"/>
        <v>0</v>
      </c>
      <c r="U79" s="218"/>
      <c r="V79" s="209"/>
      <c r="W79" s="224">
        <v>200</v>
      </c>
      <c r="X79" s="168">
        <f t="shared" si="31"/>
        <v>200</v>
      </c>
      <c r="Y79" s="182" t="s">
        <v>12</v>
      </c>
      <c r="Z79" s="183"/>
    </row>
    <row r="80" spans="1:26" ht="30" customHeight="1">
      <c r="A80" s="211" t="s">
        <v>103</v>
      </c>
      <c r="B80" s="212" t="s">
        <v>104</v>
      </c>
      <c r="C80" s="204"/>
      <c r="D80" s="115"/>
      <c r="E80" s="205"/>
      <c r="F80" s="206"/>
      <c r="G80" s="206"/>
      <c r="H80" s="206"/>
      <c r="I80" s="207"/>
      <c r="J80" s="208"/>
      <c r="K80" s="216"/>
      <c r="L80" s="206"/>
      <c r="M80" s="206"/>
      <c r="N80" s="217"/>
      <c r="O80" s="209"/>
      <c r="P80" s="216"/>
      <c r="Q80" s="206"/>
      <c r="R80" s="206"/>
      <c r="S80" s="217"/>
      <c r="T80" s="209">
        <f t="shared" si="33"/>
        <v>0</v>
      </c>
      <c r="U80" s="218"/>
      <c r="V80" s="209"/>
      <c r="W80" s="224">
        <v>150</v>
      </c>
      <c r="X80" s="168">
        <f t="shared" si="31"/>
        <v>150</v>
      </c>
      <c r="Y80" s="184" t="s">
        <v>58</v>
      </c>
      <c r="Z80" s="185" t="e">
        <f>Z72+Z76</f>
        <v>#REF!</v>
      </c>
    </row>
    <row r="81" spans="1:26" ht="30" customHeight="1">
      <c r="A81" s="232" t="s">
        <v>67</v>
      </c>
      <c r="B81" s="233" t="s">
        <v>105</v>
      </c>
      <c r="C81" s="234"/>
      <c r="D81" s="235"/>
      <c r="E81" s="236"/>
      <c r="F81" s="237"/>
      <c r="G81" s="237"/>
      <c r="H81" s="237"/>
      <c r="I81" s="238"/>
      <c r="J81" s="239"/>
      <c r="K81" s="240">
        <f>SUM(K82:K84)</f>
        <v>0</v>
      </c>
      <c r="L81" s="240">
        <f aca="true" t="shared" si="34" ref="L81:W81">SUM(L82:L84)</f>
        <v>0</v>
      </c>
      <c r="M81" s="240">
        <f t="shared" si="34"/>
        <v>0</v>
      </c>
      <c r="N81" s="240">
        <f t="shared" si="34"/>
        <v>1</v>
      </c>
      <c r="O81" s="240">
        <f t="shared" si="34"/>
        <v>1</v>
      </c>
      <c r="P81" s="240">
        <f t="shared" si="34"/>
        <v>0</v>
      </c>
      <c r="Q81" s="240">
        <f t="shared" si="34"/>
        <v>0</v>
      </c>
      <c r="R81" s="240">
        <f t="shared" si="34"/>
        <v>0</v>
      </c>
      <c r="S81" s="240">
        <f t="shared" si="34"/>
        <v>1</v>
      </c>
      <c r="T81" s="240">
        <f t="shared" si="34"/>
        <v>1</v>
      </c>
      <c r="U81" s="240">
        <f t="shared" si="34"/>
        <v>21</v>
      </c>
      <c r="V81" s="238">
        <f t="shared" si="34"/>
        <v>21</v>
      </c>
      <c r="W81" s="239">
        <f t="shared" si="34"/>
        <v>21</v>
      </c>
      <c r="X81" s="168">
        <f t="shared" si="31"/>
        <v>65</v>
      </c>
      <c r="Y81" s="184" t="s">
        <v>59</v>
      </c>
      <c r="Z81" s="185">
        <f>Z73+Z77</f>
        <v>4540</v>
      </c>
    </row>
    <row r="82" spans="1:26" ht="30" customHeight="1">
      <c r="A82" s="241"/>
      <c r="B82" s="242" t="s">
        <v>106</v>
      </c>
      <c r="C82" s="234"/>
      <c r="D82" s="235"/>
      <c r="E82" s="236"/>
      <c r="F82" s="237"/>
      <c r="G82" s="237"/>
      <c r="H82" s="237"/>
      <c r="I82" s="238"/>
      <c r="J82" s="239"/>
      <c r="K82" s="240"/>
      <c r="L82" s="237"/>
      <c r="M82" s="237"/>
      <c r="N82" s="243"/>
      <c r="O82" s="244">
        <f>SUM(K82:N82)</f>
        <v>0</v>
      </c>
      <c r="P82" s="240"/>
      <c r="Q82" s="237"/>
      <c r="R82" s="237"/>
      <c r="S82" s="243"/>
      <c r="T82" s="244">
        <f>SUM(P82:S82)</f>
        <v>0</v>
      </c>
      <c r="U82" s="245">
        <v>20</v>
      </c>
      <c r="V82" s="244"/>
      <c r="W82" s="245"/>
      <c r="X82" s="168">
        <f t="shared" si="31"/>
        <v>20</v>
      </c>
      <c r="Y82" s="184" t="s">
        <v>60</v>
      </c>
      <c r="Z82" s="185">
        <f>Z74+Z78</f>
        <v>1648</v>
      </c>
    </row>
    <row r="83" spans="1:26" ht="30" customHeight="1">
      <c r="A83" s="241"/>
      <c r="B83" s="242" t="s">
        <v>107</v>
      </c>
      <c r="C83" s="234"/>
      <c r="D83" s="235"/>
      <c r="E83" s="236"/>
      <c r="F83" s="237"/>
      <c r="G83" s="237"/>
      <c r="H83" s="237"/>
      <c r="I83" s="238"/>
      <c r="J83" s="239"/>
      <c r="K83" s="240"/>
      <c r="L83" s="237"/>
      <c r="M83" s="237"/>
      <c r="N83" s="243">
        <v>1</v>
      </c>
      <c r="O83" s="244">
        <f>SUM(K83:N83)</f>
        <v>1</v>
      </c>
      <c r="P83" s="240"/>
      <c r="Q83" s="237"/>
      <c r="R83" s="237"/>
      <c r="S83" s="243">
        <v>1</v>
      </c>
      <c r="T83" s="244">
        <f>SUM(P83:S83)</f>
        <v>1</v>
      </c>
      <c r="U83" s="245">
        <v>1</v>
      </c>
      <c r="V83" s="244">
        <v>1</v>
      </c>
      <c r="W83" s="245">
        <v>1</v>
      </c>
      <c r="X83" s="168">
        <f t="shared" si="31"/>
        <v>5</v>
      </c>
      <c r="Z83" s="185" t="e">
        <f>SUM(Z80:Z82)</f>
        <v>#REF!</v>
      </c>
    </row>
    <row r="84" spans="1:24" ht="30" customHeight="1">
      <c r="A84" s="241" t="s">
        <v>108</v>
      </c>
      <c r="B84" s="242" t="s">
        <v>109</v>
      </c>
      <c r="C84" s="234"/>
      <c r="D84" s="235"/>
      <c r="E84" s="236"/>
      <c r="F84" s="237"/>
      <c r="G84" s="237"/>
      <c r="H84" s="237"/>
      <c r="I84" s="238"/>
      <c r="J84" s="239"/>
      <c r="K84" s="240"/>
      <c r="L84" s="237"/>
      <c r="M84" s="237"/>
      <c r="N84" s="243"/>
      <c r="O84" s="244">
        <f>SUM(K84:N84)</f>
        <v>0</v>
      </c>
      <c r="P84" s="240"/>
      <c r="Q84" s="237"/>
      <c r="R84" s="237"/>
      <c r="S84" s="243"/>
      <c r="T84" s="244">
        <f>SUM(P84:S84)</f>
        <v>0</v>
      </c>
      <c r="U84" s="245"/>
      <c r="V84" s="244">
        <v>20</v>
      </c>
      <c r="W84" s="245">
        <v>20</v>
      </c>
      <c r="X84" s="168">
        <f t="shared" si="31"/>
        <v>40</v>
      </c>
    </row>
    <row r="85" spans="1:24" ht="30" customHeight="1">
      <c r="A85" s="260" t="s">
        <v>68</v>
      </c>
      <c r="B85" s="261" t="s">
        <v>110</v>
      </c>
      <c r="C85" s="262"/>
      <c r="D85" s="263"/>
      <c r="E85" s="264"/>
      <c r="F85" s="265"/>
      <c r="G85" s="265"/>
      <c r="H85" s="265"/>
      <c r="I85" s="266"/>
      <c r="J85" s="267"/>
      <c r="K85" s="268">
        <f>SUM(K86)</f>
        <v>0</v>
      </c>
      <c r="L85" s="268">
        <f aca="true" t="shared" si="35" ref="L85:W85">SUM(L86)</f>
        <v>58</v>
      </c>
      <c r="M85" s="268">
        <f t="shared" si="35"/>
        <v>0</v>
      </c>
      <c r="N85" s="268">
        <f t="shared" si="35"/>
        <v>0</v>
      </c>
      <c r="O85" s="268">
        <f t="shared" si="35"/>
        <v>58</v>
      </c>
      <c r="P85" s="268">
        <f t="shared" si="35"/>
        <v>0</v>
      </c>
      <c r="Q85" s="268">
        <f t="shared" si="35"/>
        <v>58</v>
      </c>
      <c r="R85" s="268">
        <f t="shared" si="35"/>
        <v>0</v>
      </c>
      <c r="S85" s="268">
        <f t="shared" si="35"/>
        <v>0</v>
      </c>
      <c r="T85" s="268">
        <f t="shared" si="35"/>
        <v>58</v>
      </c>
      <c r="U85" s="268">
        <f t="shared" si="35"/>
        <v>60</v>
      </c>
      <c r="V85" s="266">
        <f t="shared" si="35"/>
        <v>60</v>
      </c>
      <c r="W85" s="267">
        <f t="shared" si="35"/>
        <v>60</v>
      </c>
      <c r="X85" s="168">
        <f t="shared" si="31"/>
        <v>296</v>
      </c>
    </row>
    <row r="86" spans="1:24" ht="30" customHeight="1">
      <c r="A86" s="269" t="s">
        <v>111</v>
      </c>
      <c r="B86" s="270" t="s">
        <v>112</v>
      </c>
      <c r="C86" s="262"/>
      <c r="D86" s="263"/>
      <c r="E86" s="264"/>
      <c r="F86" s="265"/>
      <c r="G86" s="265"/>
      <c r="H86" s="265"/>
      <c r="I86" s="266"/>
      <c r="J86" s="267"/>
      <c r="K86" s="268"/>
      <c r="L86" s="265">
        <v>58</v>
      </c>
      <c r="M86" s="265"/>
      <c r="N86" s="271"/>
      <c r="O86" s="272">
        <f>SUM(K86:N86)</f>
        <v>58</v>
      </c>
      <c r="P86" s="268"/>
      <c r="Q86" s="265">
        <v>58</v>
      </c>
      <c r="R86" s="265"/>
      <c r="S86" s="271"/>
      <c r="T86" s="272">
        <f>SUM(P86:S86)</f>
        <v>58</v>
      </c>
      <c r="U86" s="273">
        <v>60</v>
      </c>
      <c r="V86" s="272">
        <v>60</v>
      </c>
      <c r="W86" s="273">
        <v>60</v>
      </c>
      <c r="X86" s="168">
        <f t="shared" si="31"/>
        <v>296</v>
      </c>
    </row>
    <row r="87" spans="1:24" ht="30" customHeight="1">
      <c r="A87" s="246" t="s">
        <v>69</v>
      </c>
      <c r="B87" s="247" t="s">
        <v>113</v>
      </c>
      <c r="C87" s="248"/>
      <c r="D87" s="249"/>
      <c r="E87" s="250"/>
      <c r="F87" s="225"/>
      <c r="G87" s="225"/>
      <c r="H87" s="225"/>
      <c r="I87" s="226"/>
      <c r="J87" s="228">
        <f>J88</f>
        <v>56</v>
      </c>
      <c r="K87" s="228">
        <f>K88</f>
        <v>0</v>
      </c>
      <c r="L87" s="228">
        <f aca="true" t="shared" si="36" ref="L87:W87">L88</f>
        <v>0</v>
      </c>
      <c r="M87" s="228">
        <f t="shared" si="36"/>
        <v>0</v>
      </c>
      <c r="N87" s="228">
        <f t="shared" si="36"/>
        <v>0</v>
      </c>
      <c r="O87" s="228">
        <f t="shared" si="36"/>
        <v>0</v>
      </c>
      <c r="P87" s="228">
        <f t="shared" si="36"/>
        <v>0</v>
      </c>
      <c r="Q87" s="228">
        <f t="shared" si="36"/>
        <v>0</v>
      </c>
      <c r="R87" s="228">
        <f t="shared" si="36"/>
        <v>0</v>
      </c>
      <c r="S87" s="228">
        <f t="shared" si="36"/>
        <v>0</v>
      </c>
      <c r="T87" s="228">
        <f t="shared" si="36"/>
        <v>0</v>
      </c>
      <c r="U87" s="228">
        <f t="shared" si="36"/>
        <v>700</v>
      </c>
      <c r="V87" s="226">
        <f t="shared" si="36"/>
        <v>1200</v>
      </c>
      <c r="W87" s="227">
        <f t="shared" si="36"/>
        <v>0</v>
      </c>
      <c r="X87" s="168">
        <f t="shared" si="31"/>
        <v>1900</v>
      </c>
    </row>
    <row r="88" spans="1:24" ht="30" customHeight="1">
      <c r="A88" s="251" t="s">
        <v>114</v>
      </c>
      <c r="B88" s="274" t="s">
        <v>63</v>
      </c>
      <c r="C88" s="248"/>
      <c r="D88" s="249"/>
      <c r="E88" s="250"/>
      <c r="F88" s="225"/>
      <c r="G88" s="225"/>
      <c r="H88" s="225"/>
      <c r="I88" s="226"/>
      <c r="J88" s="227">
        <v>56</v>
      </c>
      <c r="K88" s="275">
        <f>SUM(K89:K90)</f>
        <v>0</v>
      </c>
      <c r="L88" s="276">
        <f>SUM(L89:L90)</f>
        <v>0</v>
      </c>
      <c r="M88" s="276"/>
      <c r="N88" s="277"/>
      <c r="O88" s="230">
        <f>SUM(K88:N88)</f>
        <v>0</v>
      </c>
      <c r="P88" s="275">
        <f>SUM(P89:P90)</f>
        <v>0</v>
      </c>
      <c r="Q88" s="276">
        <f>SUM(Q89:Q90)</f>
        <v>0</v>
      </c>
      <c r="R88" s="276">
        <f>SUM(R89:R90)</f>
        <v>0</v>
      </c>
      <c r="S88" s="277">
        <f>SUM(S89:S90)</f>
        <v>0</v>
      </c>
      <c r="T88" s="230">
        <f>SUM(P88:S88)</f>
        <v>0</v>
      </c>
      <c r="U88" s="231">
        <f>SUM(U89:U90)</f>
        <v>700</v>
      </c>
      <c r="V88" s="230">
        <f>SUM(V89:V90)</f>
        <v>1200</v>
      </c>
      <c r="W88" s="231">
        <f>SUM(W89:W90)</f>
        <v>0</v>
      </c>
      <c r="X88" s="168">
        <f t="shared" si="31"/>
        <v>1900</v>
      </c>
    </row>
    <row r="89" spans="1:24" ht="30" customHeight="1">
      <c r="A89" s="251" t="s">
        <v>115</v>
      </c>
      <c r="B89" s="278" t="s">
        <v>116</v>
      </c>
      <c r="C89" s="248"/>
      <c r="D89" s="249"/>
      <c r="E89" s="250"/>
      <c r="F89" s="225"/>
      <c r="G89" s="225"/>
      <c r="H89" s="225"/>
      <c r="I89" s="226"/>
      <c r="J89" s="227"/>
      <c r="K89" s="275"/>
      <c r="L89" s="279"/>
      <c r="M89" s="276"/>
      <c r="N89" s="277"/>
      <c r="O89" s="230">
        <f>SUM(K89:N89)</f>
        <v>0</v>
      </c>
      <c r="P89" s="275"/>
      <c r="Q89" s="276"/>
      <c r="R89" s="276"/>
      <c r="S89" s="277"/>
      <c r="T89" s="230">
        <f>SUM(P89:S89)</f>
        <v>0</v>
      </c>
      <c r="U89" s="231"/>
      <c r="V89" s="230"/>
      <c r="W89" s="231"/>
      <c r="X89" s="168">
        <f t="shared" si="31"/>
        <v>0</v>
      </c>
    </row>
    <row r="90" spans="1:24" ht="30" customHeight="1">
      <c r="A90" s="251" t="s">
        <v>117</v>
      </c>
      <c r="B90" s="278" t="s">
        <v>118</v>
      </c>
      <c r="C90" s="248"/>
      <c r="D90" s="249"/>
      <c r="E90" s="250"/>
      <c r="F90" s="225"/>
      <c r="G90" s="225"/>
      <c r="H90" s="225"/>
      <c r="I90" s="226"/>
      <c r="J90" s="227"/>
      <c r="K90" s="275"/>
      <c r="L90" s="276"/>
      <c r="M90" s="276"/>
      <c r="N90" s="277"/>
      <c r="O90" s="230">
        <f>SUM(K90:N90)</f>
        <v>0</v>
      </c>
      <c r="P90" s="275"/>
      <c r="Q90" s="276"/>
      <c r="R90" s="276"/>
      <c r="S90" s="277"/>
      <c r="T90" s="230">
        <f>SUM(P90:S90)</f>
        <v>0</v>
      </c>
      <c r="U90" s="231">
        <v>700</v>
      </c>
      <c r="V90" s="230">
        <v>1200</v>
      </c>
      <c r="W90" s="231"/>
      <c r="X90" s="168">
        <f t="shared" si="31"/>
        <v>1900</v>
      </c>
    </row>
    <row r="91" spans="1:24" ht="30" customHeight="1">
      <c r="A91" s="252" t="s">
        <v>70</v>
      </c>
      <c r="B91" s="253" t="s">
        <v>119</v>
      </c>
      <c r="C91" s="118"/>
      <c r="D91" s="254"/>
      <c r="E91" s="255"/>
      <c r="F91" s="256"/>
      <c r="G91" s="256"/>
      <c r="H91" s="256"/>
      <c r="I91" s="257"/>
      <c r="J91" s="258"/>
      <c r="K91" s="259">
        <f>SUM(K92)</f>
        <v>0</v>
      </c>
      <c r="L91" s="259">
        <f aca="true" t="shared" si="37" ref="L91:W91">SUM(L92)</f>
        <v>0</v>
      </c>
      <c r="M91" s="259">
        <f t="shared" si="37"/>
        <v>1</v>
      </c>
      <c r="N91" s="259">
        <f t="shared" si="37"/>
        <v>0</v>
      </c>
      <c r="O91" s="259">
        <f t="shared" si="37"/>
        <v>1</v>
      </c>
      <c r="P91" s="259">
        <f t="shared" si="37"/>
        <v>0</v>
      </c>
      <c r="Q91" s="259">
        <f t="shared" si="37"/>
        <v>0</v>
      </c>
      <c r="R91" s="259">
        <f t="shared" si="37"/>
        <v>1</v>
      </c>
      <c r="S91" s="259">
        <f t="shared" si="37"/>
        <v>0</v>
      </c>
      <c r="T91" s="259">
        <f t="shared" si="37"/>
        <v>1</v>
      </c>
      <c r="U91" s="259">
        <f t="shared" si="37"/>
        <v>1</v>
      </c>
      <c r="V91" s="257">
        <f t="shared" si="37"/>
        <v>1</v>
      </c>
      <c r="W91" s="258">
        <f t="shared" si="37"/>
        <v>1</v>
      </c>
      <c r="X91" s="168">
        <f t="shared" si="31"/>
        <v>5</v>
      </c>
    </row>
    <row r="92" spans="1:24" ht="30" customHeight="1">
      <c r="A92" s="258"/>
      <c r="B92" s="280" t="s">
        <v>107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>
        <v>1</v>
      </c>
      <c r="N92" s="258"/>
      <c r="O92" s="258">
        <f>SUM(K92:N92)</f>
        <v>1</v>
      </c>
      <c r="P92" s="258"/>
      <c r="Q92" s="258"/>
      <c r="R92" s="258">
        <v>1</v>
      </c>
      <c r="S92" s="258"/>
      <c r="T92" s="258">
        <f>SUM(P92:S92)</f>
        <v>1</v>
      </c>
      <c r="U92" s="258">
        <v>1</v>
      </c>
      <c r="V92" s="257">
        <v>1</v>
      </c>
      <c r="W92" s="258">
        <v>1</v>
      </c>
      <c r="X92" s="168">
        <f t="shared" si="31"/>
        <v>5</v>
      </c>
    </row>
    <row r="93" spans="1:24" ht="30" customHeight="1">
      <c r="A93" s="281" t="s">
        <v>71</v>
      </c>
      <c r="B93" s="282" t="s">
        <v>120</v>
      </c>
      <c r="C93" s="283"/>
      <c r="D93" s="284"/>
      <c r="E93" s="285"/>
      <c r="F93" s="286"/>
      <c r="G93" s="286"/>
      <c r="H93" s="286"/>
      <c r="I93" s="167"/>
      <c r="J93" s="166">
        <f>SUM(J94:J120)</f>
        <v>1782</v>
      </c>
      <c r="K93" s="166">
        <f>SUM(K94:K120)</f>
        <v>0</v>
      </c>
      <c r="L93" s="166">
        <f aca="true" t="shared" si="38" ref="L93:W93">SUM(L94:L120)</f>
        <v>40</v>
      </c>
      <c r="M93" s="166">
        <f t="shared" si="38"/>
        <v>1552</v>
      </c>
      <c r="N93" s="166">
        <f t="shared" si="38"/>
        <v>2500</v>
      </c>
      <c r="O93" s="166">
        <f t="shared" si="38"/>
        <v>4092</v>
      </c>
      <c r="P93" s="166">
        <f t="shared" si="38"/>
        <v>0</v>
      </c>
      <c r="Q93" s="166">
        <f t="shared" si="38"/>
        <v>3</v>
      </c>
      <c r="R93" s="166">
        <f t="shared" si="38"/>
        <v>1915</v>
      </c>
      <c r="S93" s="166">
        <f t="shared" si="38"/>
        <v>0</v>
      </c>
      <c r="T93" s="166">
        <f t="shared" si="38"/>
        <v>1918</v>
      </c>
      <c r="U93" s="166">
        <f t="shared" si="38"/>
        <v>2565</v>
      </c>
      <c r="V93" s="167">
        <f t="shared" si="38"/>
        <v>3385</v>
      </c>
      <c r="W93" s="287">
        <f t="shared" si="38"/>
        <v>75</v>
      </c>
      <c r="X93" s="168">
        <f t="shared" si="31"/>
        <v>12035</v>
      </c>
    </row>
    <row r="94" spans="1:24" ht="30" customHeight="1">
      <c r="A94" s="288" t="s">
        <v>121</v>
      </c>
      <c r="B94" s="289" t="s">
        <v>122</v>
      </c>
      <c r="C94" s="283"/>
      <c r="D94" s="284"/>
      <c r="E94" s="285"/>
      <c r="F94" s="286"/>
      <c r="G94" s="286"/>
      <c r="H94" s="286"/>
      <c r="I94" s="167"/>
      <c r="J94" s="287">
        <v>40</v>
      </c>
      <c r="K94" s="290"/>
      <c r="L94" s="291"/>
      <c r="M94" s="291"/>
      <c r="N94" s="292">
        <v>18</v>
      </c>
      <c r="O94" s="293">
        <f aca="true" t="shared" si="39" ref="O94:O120">SUM(K94:N94)</f>
        <v>18</v>
      </c>
      <c r="P94" s="166"/>
      <c r="Q94" s="286"/>
      <c r="R94" s="294"/>
      <c r="S94" s="295"/>
      <c r="T94" s="293">
        <f aca="true" t="shared" si="40" ref="T94:T120">SUM(P94:S94)</f>
        <v>0</v>
      </c>
      <c r="U94" s="294"/>
      <c r="V94" s="328"/>
      <c r="W94" s="294"/>
      <c r="X94" s="168">
        <f t="shared" si="31"/>
        <v>18</v>
      </c>
    </row>
    <row r="95" spans="1:24" ht="30" customHeight="1">
      <c r="A95" s="288" t="s">
        <v>123</v>
      </c>
      <c r="B95" s="289" t="s">
        <v>124</v>
      </c>
      <c r="C95" s="283"/>
      <c r="D95" s="284"/>
      <c r="E95" s="285"/>
      <c r="F95" s="286"/>
      <c r="G95" s="286"/>
      <c r="H95" s="286"/>
      <c r="I95" s="167"/>
      <c r="J95" s="287">
        <v>1653</v>
      </c>
      <c r="K95" s="290"/>
      <c r="L95" s="291"/>
      <c r="M95" s="291">
        <v>1222</v>
      </c>
      <c r="N95" s="292"/>
      <c r="O95" s="293">
        <f t="shared" si="39"/>
        <v>1222</v>
      </c>
      <c r="P95" s="166"/>
      <c r="Q95" s="286"/>
      <c r="R95" s="294"/>
      <c r="S95" s="295"/>
      <c r="T95" s="293">
        <f t="shared" si="40"/>
        <v>0</v>
      </c>
      <c r="U95" s="294"/>
      <c r="V95" s="328"/>
      <c r="W95" s="294"/>
      <c r="X95" s="168">
        <f t="shared" si="31"/>
        <v>1222</v>
      </c>
    </row>
    <row r="96" spans="1:24" ht="30" customHeight="1">
      <c r="A96" s="288" t="s">
        <v>125</v>
      </c>
      <c r="B96" s="296" t="s">
        <v>126</v>
      </c>
      <c r="C96" s="283"/>
      <c r="D96" s="284"/>
      <c r="E96" s="285"/>
      <c r="F96" s="286"/>
      <c r="G96" s="286"/>
      <c r="H96" s="286"/>
      <c r="I96" s="167"/>
      <c r="J96" s="287"/>
      <c r="K96" s="297"/>
      <c r="L96" s="298"/>
      <c r="M96" s="299">
        <v>200</v>
      </c>
      <c r="N96" s="300">
        <v>210</v>
      </c>
      <c r="O96" s="293">
        <f t="shared" si="39"/>
        <v>410</v>
      </c>
      <c r="P96" s="166"/>
      <c r="Q96" s="286"/>
      <c r="R96" s="301"/>
      <c r="S96" s="295"/>
      <c r="T96" s="293">
        <f t="shared" si="40"/>
        <v>0</v>
      </c>
      <c r="U96" s="301"/>
      <c r="V96" s="329"/>
      <c r="W96" s="301"/>
      <c r="X96" s="168">
        <f t="shared" si="31"/>
        <v>410</v>
      </c>
    </row>
    <row r="97" spans="1:24" ht="30" customHeight="1">
      <c r="A97" s="288" t="s">
        <v>127</v>
      </c>
      <c r="B97" s="302" t="s">
        <v>128</v>
      </c>
      <c r="C97" s="283"/>
      <c r="D97" s="284"/>
      <c r="E97" s="285"/>
      <c r="F97" s="286"/>
      <c r="G97" s="286"/>
      <c r="H97" s="286"/>
      <c r="I97" s="167"/>
      <c r="J97" s="287">
        <v>44</v>
      </c>
      <c r="K97" s="297"/>
      <c r="L97" s="298"/>
      <c r="M97" s="298"/>
      <c r="N97" s="303"/>
      <c r="O97" s="293">
        <f t="shared" si="39"/>
        <v>0</v>
      </c>
      <c r="P97" s="166"/>
      <c r="Q97" s="286"/>
      <c r="R97" s="304"/>
      <c r="S97" s="295"/>
      <c r="T97" s="293">
        <f t="shared" si="40"/>
        <v>0</v>
      </c>
      <c r="U97" s="304">
        <v>1450</v>
      </c>
      <c r="V97" s="330">
        <v>1650</v>
      </c>
      <c r="W97" s="304"/>
      <c r="X97" s="168">
        <f t="shared" si="31"/>
        <v>3100</v>
      </c>
    </row>
    <row r="98" spans="1:24" s="193" customFormat="1" ht="30" customHeight="1">
      <c r="A98" s="288" t="s">
        <v>129</v>
      </c>
      <c r="B98" s="302" t="s">
        <v>130</v>
      </c>
      <c r="C98" s="283"/>
      <c r="D98" s="284"/>
      <c r="E98" s="285"/>
      <c r="F98" s="286"/>
      <c r="G98" s="286"/>
      <c r="H98" s="286"/>
      <c r="I98" s="167"/>
      <c r="J98" s="287">
        <v>45</v>
      </c>
      <c r="K98" s="297"/>
      <c r="L98" s="298"/>
      <c r="M98" s="298"/>
      <c r="N98" s="303">
        <v>800</v>
      </c>
      <c r="O98" s="293">
        <f t="shared" si="39"/>
        <v>800</v>
      </c>
      <c r="P98" s="166"/>
      <c r="Q98" s="286"/>
      <c r="R98" s="304">
        <v>700</v>
      </c>
      <c r="S98" s="295"/>
      <c r="T98" s="293">
        <f t="shared" si="40"/>
        <v>700</v>
      </c>
      <c r="U98" s="304"/>
      <c r="V98" s="330"/>
      <c r="W98" s="304"/>
      <c r="X98" s="168">
        <f t="shared" si="31"/>
        <v>1500</v>
      </c>
    </row>
    <row r="99" spans="1:24" ht="30" customHeight="1">
      <c r="A99" s="288" t="s">
        <v>131</v>
      </c>
      <c r="B99" s="302" t="s">
        <v>107</v>
      </c>
      <c r="C99" s="283"/>
      <c r="D99" s="284"/>
      <c r="E99" s="285"/>
      <c r="F99" s="286"/>
      <c r="G99" s="286"/>
      <c r="H99" s="286"/>
      <c r="I99" s="167"/>
      <c r="J99" s="287"/>
      <c r="K99" s="297"/>
      <c r="L99" s="298"/>
      <c r="M99" s="298">
        <v>25</v>
      </c>
      <c r="N99" s="303"/>
      <c r="O99" s="293">
        <f t="shared" si="39"/>
        <v>25</v>
      </c>
      <c r="P99" s="166"/>
      <c r="Q99" s="286"/>
      <c r="R99" s="304">
        <v>25</v>
      </c>
      <c r="S99" s="295"/>
      <c r="T99" s="293">
        <f t="shared" si="40"/>
        <v>25</v>
      </c>
      <c r="U99" s="304">
        <v>25</v>
      </c>
      <c r="V99" s="330">
        <v>25</v>
      </c>
      <c r="W99" s="304">
        <v>25</v>
      </c>
      <c r="X99" s="168">
        <f t="shared" si="31"/>
        <v>125</v>
      </c>
    </row>
    <row r="100" spans="1:24" ht="30" customHeight="1">
      <c r="A100" s="288" t="s">
        <v>132</v>
      </c>
      <c r="B100" s="302" t="s">
        <v>133</v>
      </c>
      <c r="C100" s="183"/>
      <c r="D100" s="305"/>
      <c r="E100" s="183"/>
      <c r="F100" s="183"/>
      <c r="G100" s="183"/>
      <c r="H100" s="183"/>
      <c r="I100" s="183"/>
      <c r="J100" s="287"/>
      <c r="K100" s="297"/>
      <c r="L100" s="298"/>
      <c r="M100" s="298"/>
      <c r="N100" s="303">
        <v>140</v>
      </c>
      <c r="O100" s="293">
        <f t="shared" si="39"/>
        <v>140</v>
      </c>
      <c r="P100" s="166"/>
      <c r="Q100" s="286"/>
      <c r="R100" s="304"/>
      <c r="S100" s="295"/>
      <c r="T100" s="293">
        <f t="shared" si="40"/>
        <v>0</v>
      </c>
      <c r="U100" s="304"/>
      <c r="V100" s="330"/>
      <c r="W100" s="304"/>
      <c r="X100" s="168">
        <f t="shared" si="31"/>
        <v>140</v>
      </c>
    </row>
    <row r="101" spans="1:24" ht="30" customHeight="1">
      <c r="A101" s="288" t="s">
        <v>134</v>
      </c>
      <c r="B101" s="302" t="s">
        <v>135</v>
      </c>
      <c r="C101" s="183"/>
      <c r="D101" s="305"/>
      <c r="E101" s="183"/>
      <c r="F101" s="183"/>
      <c r="G101" s="183"/>
      <c r="H101" s="183"/>
      <c r="I101" s="183"/>
      <c r="J101" s="287"/>
      <c r="K101" s="297"/>
      <c r="L101" s="298">
        <v>40</v>
      </c>
      <c r="M101" s="298"/>
      <c r="N101" s="303"/>
      <c r="O101" s="293">
        <f t="shared" si="39"/>
        <v>40</v>
      </c>
      <c r="P101" s="166"/>
      <c r="Q101" s="286"/>
      <c r="R101" s="304"/>
      <c r="S101" s="295"/>
      <c r="T101" s="293">
        <f t="shared" si="40"/>
        <v>0</v>
      </c>
      <c r="U101" s="304"/>
      <c r="V101" s="330"/>
      <c r="W101" s="304"/>
      <c r="X101" s="168">
        <f t="shared" si="31"/>
        <v>40</v>
      </c>
    </row>
    <row r="102" spans="1:24" ht="30" customHeight="1">
      <c r="A102" s="288" t="s">
        <v>136</v>
      </c>
      <c r="B102" s="302" t="s">
        <v>506</v>
      </c>
      <c r="C102" s="183"/>
      <c r="D102" s="305"/>
      <c r="E102" s="183"/>
      <c r="F102" s="183"/>
      <c r="G102" s="183"/>
      <c r="H102" s="183"/>
      <c r="I102" s="183"/>
      <c r="J102" s="287"/>
      <c r="K102" s="297"/>
      <c r="L102" s="298"/>
      <c r="M102" s="298"/>
      <c r="N102" s="303">
        <v>1100</v>
      </c>
      <c r="O102" s="293">
        <f t="shared" si="39"/>
        <v>1100</v>
      </c>
      <c r="P102" s="166"/>
      <c r="Q102" s="286"/>
      <c r="R102" s="304">
        <v>1100</v>
      </c>
      <c r="S102" s="295"/>
      <c r="T102" s="293">
        <f t="shared" si="40"/>
        <v>1100</v>
      </c>
      <c r="U102" s="304"/>
      <c r="V102" s="330"/>
      <c r="W102" s="304"/>
      <c r="X102" s="168">
        <f t="shared" si="31"/>
        <v>2200</v>
      </c>
    </row>
    <row r="103" spans="1:24" ht="30" customHeight="1">
      <c r="A103" s="288" t="s">
        <v>137</v>
      </c>
      <c r="B103" s="302" t="s">
        <v>138</v>
      </c>
      <c r="C103" s="183"/>
      <c r="D103" s="305"/>
      <c r="E103" s="183"/>
      <c r="F103" s="183"/>
      <c r="G103" s="183"/>
      <c r="H103" s="183"/>
      <c r="I103" s="183"/>
      <c r="J103" s="287"/>
      <c r="K103" s="297"/>
      <c r="L103" s="298"/>
      <c r="M103" s="298"/>
      <c r="N103" s="303">
        <v>182</v>
      </c>
      <c r="O103" s="293">
        <f t="shared" si="39"/>
        <v>182</v>
      </c>
      <c r="P103" s="166"/>
      <c r="Q103" s="286"/>
      <c r="R103" s="304"/>
      <c r="S103" s="295"/>
      <c r="T103" s="293">
        <f t="shared" si="40"/>
        <v>0</v>
      </c>
      <c r="U103" s="304"/>
      <c r="V103" s="330"/>
      <c r="W103" s="304"/>
      <c r="X103" s="168">
        <f t="shared" si="31"/>
        <v>182</v>
      </c>
    </row>
    <row r="104" spans="1:24" ht="30" customHeight="1">
      <c r="A104" s="288" t="s">
        <v>139</v>
      </c>
      <c r="B104" s="302" t="s">
        <v>140</v>
      </c>
      <c r="C104" s="183"/>
      <c r="D104" s="305"/>
      <c r="E104" s="183"/>
      <c r="F104" s="183"/>
      <c r="G104" s="183"/>
      <c r="H104" s="183"/>
      <c r="I104" s="183"/>
      <c r="J104" s="287"/>
      <c r="K104" s="297"/>
      <c r="L104" s="182"/>
      <c r="M104" s="298">
        <v>15</v>
      </c>
      <c r="N104" s="303"/>
      <c r="O104" s="293">
        <f t="shared" si="39"/>
        <v>15</v>
      </c>
      <c r="P104" s="166"/>
      <c r="Q104" s="286"/>
      <c r="R104" s="304"/>
      <c r="S104" s="295"/>
      <c r="T104" s="293">
        <f t="shared" si="40"/>
        <v>0</v>
      </c>
      <c r="U104" s="304"/>
      <c r="V104" s="330">
        <v>150</v>
      </c>
      <c r="W104" s="304"/>
      <c r="X104" s="168">
        <f t="shared" si="31"/>
        <v>165</v>
      </c>
    </row>
    <row r="105" spans="1:24" ht="30" customHeight="1">
      <c r="A105" s="288" t="s">
        <v>141</v>
      </c>
      <c r="B105" s="306" t="s">
        <v>142</v>
      </c>
      <c r="C105" s="183"/>
      <c r="D105" s="305"/>
      <c r="E105" s="183"/>
      <c r="F105" s="183"/>
      <c r="G105" s="183"/>
      <c r="H105" s="183"/>
      <c r="I105" s="183"/>
      <c r="J105" s="287"/>
      <c r="K105" s="297"/>
      <c r="L105" s="298"/>
      <c r="M105" s="298">
        <v>50</v>
      </c>
      <c r="N105" s="303"/>
      <c r="O105" s="293">
        <f t="shared" si="39"/>
        <v>50</v>
      </c>
      <c r="P105" s="166"/>
      <c r="Q105" s="286"/>
      <c r="R105" s="304">
        <v>50</v>
      </c>
      <c r="S105" s="295"/>
      <c r="T105" s="293">
        <f t="shared" si="40"/>
        <v>50</v>
      </c>
      <c r="U105" s="304">
        <v>50</v>
      </c>
      <c r="V105" s="330">
        <v>50</v>
      </c>
      <c r="W105" s="304">
        <v>50</v>
      </c>
      <c r="X105" s="168">
        <f t="shared" si="31"/>
        <v>250</v>
      </c>
    </row>
    <row r="106" spans="1:24" ht="30" customHeight="1">
      <c r="A106" s="288" t="s">
        <v>143</v>
      </c>
      <c r="B106" s="302" t="s">
        <v>144</v>
      </c>
      <c r="C106" s="183"/>
      <c r="D106" s="305"/>
      <c r="E106" s="183"/>
      <c r="F106" s="183"/>
      <c r="G106" s="183"/>
      <c r="H106" s="183"/>
      <c r="I106" s="183"/>
      <c r="J106" s="287"/>
      <c r="K106" s="297"/>
      <c r="L106" s="298"/>
      <c r="M106" s="298"/>
      <c r="N106" s="303"/>
      <c r="O106" s="293">
        <f t="shared" si="39"/>
        <v>0</v>
      </c>
      <c r="P106" s="166"/>
      <c r="Q106" s="286"/>
      <c r="R106" s="304"/>
      <c r="S106" s="295"/>
      <c r="T106" s="293">
        <f t="shared" si="40"/>
        <v>0</v>
      </c>
      <c r="U106" s="304">
        <v>500</v>
      </c>
      <c r="V106" s="330">
        <v>500</v>
      </c>
      <c r="W106" s="304"/>
      <c r="X106" s="168">
        <f t="shared" si="31"/>
        <v>1000</v>
      </c>
    </row>
    <row r="107" spans="1:24" ht="30" customHeight="1">
      <c r="A107" s="288" t="s">
        <v>145</v>
      </c>
      <c r="B107" s="302" t="s">
        <v>146</v>
      </c>
      <c r="C107" s="183"/>
      <c r="D107" s="305"/>
      <c r="E107" s="183"/>
      <c r="F107" s="183"/>
      <c r="G107" s="183"/>
      <c r="H107" s="183"/>
      <c r="I107" s="183"/>
      <c r="J107" s="287"/>
      <c r="K107" s="297"/>
      <c r="L107" s="298"/>
      <c r="M107" s="298"/>
      <c r="N107" s="303"/>
      <c r="O107" s="293">
        <f t="shared" si="39"/>
        <v>0</v>
      </c>
      <c r="P107" s="166"/>
      <c r="Q107" s="286"/>
      <c r="R107" s="304"/>
      <c r="S107" s="295"/>
      <c r="T107" s="293">
        <f t="shared" si="40"/>
        <v>0</v>
      </c>
      <c r="U107" s="304">
        <v>500</v>
      </c>
      <c r="V107" s="330"/>
      <c r="W107" s="304"/>
      <c r="X107" s="168">
        <f t="shared" si="31"/>
        <v>500</v>
      </c>
    </row>
    <row r="108" spans="1:24" ht="30" customHeight="1">
      <c r="A108" s="288" t="s">
        <v>147</v>
      </c>
      <c r="B108" s="307" t="s">
        <v>148</v>
      </c>
      <c r="C108" s="183"/>
      <c r="D108" s="305"/>
      <c r="E108" s="183"/>
      <c r="F108" s="183"/>
      <c r="G108" s="183"/>
      <c r="H108" s="183"/>
      <c r="I108" s="183"/>
      <c r="J108" s="287"/>
      <c r="K108" s="308"/>
      <c r="L108" s="298"/>
      <c r="M108" s="298"/>
      <c r="N108" s="309">
        <v>20</v>
      </c>
      <c r="O108" s="293">
        <f t="shared" si="39"/>
        <v>20</v>
      </c>
      <c r="P108" s="166"/>
      <c r="Q108" s="286"/>
      <c r="R108" s="294"/>
      <c r="S108" s="295"/>
      <c r="T108" s="293">
        <f t="shared" si="40"/>
        <v>0</v>
      </c>
      <c r="U108" s="294"/>
      <c r="V108" s="328"/>
      <c r="W108" s="294"/>
      <c r="X108" s="168">
        <f t="shared" si="31"/>
        <v>20</v>
      </c>
    </row>
    <row r="109" spans="1:24" ht="30" customHeight="1">
      <c r="A109" s="288"/>
      <c r="B109" s="302" t="s">
        <v>507</v>
      </c>
      <c r="C109" s="183"/>
      <c r="D109" s="305"/>
      <c r="E109" s="183"/>
      <c r="F109" s="183"/>
      <c r="G109" s="183"/>
      <c r="H109" s="183"/>
      <c r="I109" s="183"/>
      <c r="J109" s="287"/>
      <c r="K109" s="308"/>
      <c r="L109" s="298"/>
      <c r="M109" s="298">
        <v>20</v>
      </c>
      <c r="N109" s="309"/>
      <c r="O109" s="293">
        <f t="shared" si="39"/>
        <v>20</v>
      </c>
      <c r="P109" s="166"/>
      <c r="Q109" s="286"/>
      <c r="R109" s="310"/>
      <c r="S109" s="295"/>
      <c r="T109" s="293">
        <f t="shared" si="40"/>
        <v>0</v>
      </c>
      <c r="U109" s="294"/>
      <c r="V109" s="328"/>
      <c r="W109" s="294"/>
      <c r="X109" s="168">
        <f t="shared" si="31"/>
        <v>20</v>
      </c>
    </row>
    <row r="110" spans="1:24" ht="30" customHeight="1">
      <c r="A110" s="288"/>
      <c r="B110" s="302" t="s">
        <v>149</v>
      </c>
      <c r="C110" s="183"/>
      <c r="D110" s="305"/>
      <c r="E110" s="183"/>
      <c r="F110" s="183"/>
      <c r="G110" s="183"/>
      <c r="H110" s="183"/>
      <c r="I110" s="183"/>
      <c r="J110" s="287"/>
      <c r="K110" s="308"/>
      <c r="L110" s="298"/>
      <c r="M110" s="298">
        <v>10</v>
      </c>
      <c r="N110" s="309"/>
      <c r="O110" s="293">
        <f t="shared" si="39"/>
        <v>10</v>
      </c>
      <c r="P110" s="166"/>
      <c r="Q110" s="286"/>
      <c r="R110" s="310"/>
      <c r="S110" s="295"/>
      <c r="T110" s="293">
        <f t="shared" si="40"/>
        <v>0</v>
      </c>
      <c r="U110" s="294"/>
      <c r="V110" s="328"/>
      <c r="W110" s="294"/>
      <c r="X110" s="168">
        <f t="shared" si="31"/>
        <v>10</v>
      </c>
    </row>
    <row r="111" spans="1:24" ht="30" customHeight="1">
      <c r="A111" s="288"/>
      <c r="B111" s="302" t="s">
        <v>150</v>
      </c>
      <c r="C111" s="183"/>
      <c r="D111" s="305"/>
      <c r="E111" s="183"/>
      <c r="F111" s="183"/>
      <c r="G111" s="183"/>
      <c r="H111" s="183"/>
      <c r="I111" s="183"/>
      <c r="J111" s="287"/>
      <c r="K111" s="308"/>
      <c r="L111" s="298"/>
      <c r="M111" s="298"/>
      <c r="N111" s="309"/>
      <c r="O111" s="293">
        <f t="shared" si="39"/>
        <v>0</v>
      </c>
      <c r="P111" s="166"/>
      <c r="Q111" s="286"/>
      <c r="R111" s="310">
        <v>15</v>
      </c>
      <c r="S111" s="295"/>
      <c r="T111" s="293">
        <f t="shared" si="40"/>
        <v>15</v>
      </c>
      <c r="U111" s="294"/>
      <c r="V111" s="328"/>
      <c r="W111" s="294"/>
      <c r="X111" s="168">
        <f t="shared" si="31"/>
        <v>15</v>
      </c>
    </row>
    <row r="112" spans="1:24" ht="30" customHeight="1">
      <c r="A112" s="288"/>
      <c r="B112" s="302" t="s">
        <v>151</v>
      </c>
      <c r="C112" s="183"/>
      <c r="D112" s="305"/>
      <c r="E112" s="183"/>
      <c r="F112" s="183"/>
      <c r="G112" s="183"/>
      <c r="H112" s="183"/>
      <c r="I112" s="183"/>
      <c r="J112" s="287"/>
      <c r="K112" s="308"/>
      <c r="L112" s="298"/>
      <c r="M112" s="298"/>
      <c r="N112" s="309"/>
      <c r="O112" s="293">
        <f t="shared" si="39"/>
        <v>0</v>
      </c>
      <c r="P112" s="166"/>
      <c r="Q112" s="286"/>
      <c r="R112" s="310">
        <v>15</v>
      </c>
      <c r="S112" s="295"/>
      <c r="T112" s="293">
        <f t="shared" si="40"/>
        <v>15</v>
      </c>
      <c r="U112" s="294"/>
      <c r="V112" s="328"/>
      <c r="W112" s="294"/>
      <c r="X112" s="168">
        <f t="shared" si="31"/>
        <v>15</v>
      </c>
    </row>
    <row r="113" spans="1:24" ht="30" customHeight="1">
      <c r="A113" s="288"/>
      <c r="B113" s="302" t="s">
        <v>152</v>
      </c>
      <c r="C113" s="183"/>
      <c r="D113" s="305"/>
      <c r="E113" s="183"/>
      <c r="F113" s="183"/>
      <c r="G113" s="183"/>
      <c r="H113" s="183"/>
      <c r="I113" s="183"/>
      <c r="J113" s="287"/>
      <c r="K113" s="308"/>
      <c r="L113" s="298"/>
      <c r="M113" s="298"/>
      <c r="N113" s="309"/>
      <c r="O113" s="293">
        <f t="shared" si="39"/>
        <v>0</v>
      </c>
      <c r="P113" s="166"/>
      <c r="Q113" s="286"/>
      <c r="R113" s="310"/>
      <c r="S113" s="295"/>
      <c r="T113" s="293">
        <f t="shared" si="40"/>
        <v>0</v>
      </c>
      <c r="U113" s="294"/>
      <c r="V113" s="328">
        <v>10</v>
      </c>
      <c r="W113" s="294"/>
      <c r="X113" s="168">
        <f t="shared" si="31"/>
        <v>10</v>
      </c>
    </row>
    <row r="114" spans="1:24" ht="30" customHeight="1">
      <c r="A114" s="288"/>
      <c r="B114" s="302" t="s">
        <v>153</v>
      </c>
      <c r="C114" s="183"/>
      <c r="D114" s="305"/>
      <c r="E114" s="183"/>
      <c r="F114" s="183"/>
      <c r="G114" s="183"/>
      <c r="H114" s="183"/>
      <c r="I114" s="183"/>
      <c r="J114" s="287"/>
      <c r="K114" s="308"/>
      <c r="L114" s="298"/>
      <c r="M114" s="298"/>
      <c r="N114" s="309"/>
      <c r="O114" s="293">
        <f t="shared" si="39"/>
        <v>0</v>
      </c>
      <c r="P114" s="166"/>
      <c r="Q114" s="286">
        <v>3</v>
      </c>
      <c r="R114" s="310"/>
      <c r="S114" s="295"/>
      <c r="T114" s="293">
        <f t="shared" si="40"/>
        <v>3</v>
      </c>
      <c r="U114" s="294"/>
      <c r="V114" s="328"/>
      <c r="W114" s="294"/>
      <c r="X114" s="168">
        <f t="shared" si="31"/>
        <v>3</v>
      </c>
    </row>
    <row r="115" spans="1:24" ht="30" customHeight="1">
      <c r="A115" s="288"/>
      <c r="B115" s="302" t="s">
        <v>508</v>
      </c>
      <c r="C115" s="183"/>
      <c r="D115" s="305"/>
      <c r="E115" s="183"/>
      <c r="F115" s="183"/>
      <c r="G115" s="183"/>
      <c r="H115" s="183"/>
      <c r="I115" s="183"/>
      <c r="J115" s="287"/>
      <c r="K115" s="308"/>
      <c r="L115" s="298"/>
      <c r="M115" s="298"/>
      <c r="N115" s="309"/>
      <c r="O115" s="293">
        <f t="shared" si="39"/>
        <v>0</v>
      </c>
      <c r="P115" s="166"/>
      <c r="Q115" s="286"/>
      <c r="R115" s="310">
        <v>10</v>
      </c>
      <c r="S115" s="295"/>
      <c r="T115" s="293">
        <f t="shared" si="40"/>
        <v>10</v>
      </c>
      <c r="U115" s="294"/>
      <c r="V115" s="328"/>
      <c r="W115" s="294"/>
      <c r="X115" s="168">
        <f t="shared" si="31"/>
        <v>10</v>
      </c>
    </row>
    <row r="116" spans="1:24" ht="30" customHeight="1">
      <c r="A116" s="288"/>
      <c r="B116" s="302" t="s">
        <v>154</v>
      </c>
      <c r="C116" s="183"/>
      <c r="D116" s="305"/>
      <c r="E116" s="183"/>
      <c r="F116" s="183"/>
      <c r="G116" s="183"/>
      <c r="H116" s="183"/>
      <c r="I116" s="183"/>
      <c r="J116" s="287"/>
      <c r="K116" s="308"/>
      <c r="L116" s="298"/>
      <c r="M116" s="298">
        <v>10</v>
      </c>
      <c r="N116" s="309"/>
      <c r="O116" s="293">
        <f t="shared" si="39"/>
        <v>10</v>
      </c>
      <c r="P116" s="166"/>
      <c r="Q116" s="286"/>
      <c r="R116" s="310"/>
      <c r="S116" s="295"/>
      <c r="T116" s="293">
        <f t="shared" si="40"/>
        <v>0</v>
      </c>
      <c r="U116" s="294">
        <v>10</v>
      </c>
      <c r="V116" s="328"/>
      <c r="W116" s="294"/>
      <c r="X116" s="168">
        <f t="shared" si="31"/>
        <v>20</v>
      </c>
    </row>
    <row r="117" spans="1:24" ht="30" customHeight="1">
      <c r="A117" s="288"/>
      <c r="B117" s="302" t="s">
        <v>155</v>
      </c>
      <c r="C117" s="183"/>
      <c r="D117" s="305"/>
      <c r="E117" s="183"/>
      <c r="F117" s="183"/>
      <c r="G117" s="183"/>
      <c r="H117" s="183"/>
      <c r="I117" s="183"/>
      <c r="J117" s="287"/>
      <c r="K117" s="308"/>
      <c r="L117" s="298"/>
      <c r="M117" s="298"/>
      <c r="N117" s="309"/>
      <c r="O117" s="293">
        <f t="shared" si="39"/>
        <v>0</v>
      </c>
      <c r="P117" s="166"/>
      <c r="Q117" s="286"/>
      <c r="R117" s="310"/>
      <c r="S117" s="295"/>
      <c r="T117" s="293">
        <f t="shared" si="40"/>
        <v>0</v>
      </c>
      <c r="U117" s="294">
        <v>30</v>
      </c>
      <c r="V117" s="328"/>
      <c r="W117" s="294"/>
      <c r="X117" s="168">
        <f t="shared" si="31"/>
        <v>30</v>
      </c>
    </row>
    <row r="118" spans="1:24" ht="30" customHeight="1">
      <c r="A118" s="288"/>
      <c r="B118" s="302" t="s">
        <v>504</v>
      </c>
      <c r="C118" s="183"/>
      <c r="D118" s="305"/>
      <c r="E118" s="183"/>
      <c r="F118" s="183"/>
      <c r="G118" s="183"/>
      <c r="H118" s="183"/>
      <c r="I118" s="183"/>
      <c r="J118" s="287"/>
      <c r="K118" s="308"/>
      <c r="L118" s="298"/>
      <c r="M118" s="298"/>
      <c r="N118" s="309"/>
      <c r="O118" s="293">
        <f t="shared" si="39"/>
        <v>0</v>
      </c>
      <c r="P118" s="166"/>
      <c r="Q118" s="286"/>
      <c r="R118" s="310"/>
      <c r="S118" s="295"/>
      <c r="T118" s="293">
        <f t="shared" si="40"/>
        <v>0</v>
      </c>
      <c r="U118" s="294"/>
      <c r="V118" s="328">
        <v>1000</v>
      </c>
      <c r="W118" s="294"/>
      <c r="X118" s="168">
        <f t="shared" si="31"/>
        <v>1000</v>
      </c>
    </row>
    <row r="119" spans="1:24" ht="30" customHeight="1">
      <c r="A119" s="288"/>
      <c r="B119" s="302" t="s">
        <v>156</v>
      </c>
      <c r="C119" s="183"/>
      <c r="D119" s="305"/>
      <c r="E119" s="183"/>
      <c r="F119" s="183"/>
      <c r="G119" s="183"/>
      <c r="H119" s="183"/>
      <c r="I119" s="183"/>
      <c r="J119" s="287"/>
      <c r="K119" s="308"/>
      <c r="L119" s="298"/>
      <c r="M119" s="298"/>
      <c r="N119" s="309">
        <v>30</v>
      </c>
      <c r="O119" s="293">
        <f t="shared" si="39"/>
        <v>30</v>
      </c>
      <c r="P119" s="166"/>
      <c r="Q119" s="286"/>
      <c r="R119" s="310"/>
      <c r="S119" s="295"/>
      <c r="T119" s="293">
        <f t="shared" si="40"/>
        <v>0</v>
      </c>
      <c r="U119" s="294"/>
      <c r="V119" s="328"/>
      <c r="W119" s="294"/>
      <c r="X119" s="168">
        <f t="shared" si="31"/>
        <v>30</v>
      </c>
    </row>
    <row r="120" spans="1:24" ht="30" customHeight="1">
      <c r="A120" s="288"/>
      <c r="B120" s="311"/>
      <c r="C120" s="183"/>
      <c r="D120" s="305"/>
      <c r="E120" s="183"/>
      <c r="F120" s="183"/>
      <c r="G120" s="183"/>
      <c r="H120" s="183"/>
      <c r="I120" s="183"/>
      <c r="J120" s="287"/>
      <c r="K120" s="308"/>
      <c r="L120" s="298"/>
      <c r="M120" s="298"/>
      <c r="N120" s="309"/>
      <c r="O120" s="293">
        <f t="shared" si="39"/>
        <v>0</v>
      </c>
      <c r="P120" s="166"/>
      <c r="Q120" s="286"/>
      <c r="R120" s="310"/>
      <c r="S120" s="295"/>
      <c r="T120" s="293">
        <f t="shared" si="40"/>
        <v>0</v>
      </c>
      <c r="U120" s="294"/>
      <c r="V120" s="328"/>
      <c r="W120" s="294"/>
      <c r="X120" s="168">
        <f t="shared" si="31"/>
        <v>0</v>
      </c>
    </row>
    <row r="121" spans="1:24" ht="30" customHeight="1">
      <c r="A121" s="186" t="s">
        <v>157</v>
      </c>
      <c r="B121" s="170" t="s">
        <v>158</v>
      </c>
      <c r="C121" s="196"/>
      <c r="D121" s="197"/>
      <c r="E121" s="196"/>
      <c r="F121" s="196"/>
      <c r="G121" s="196"/>
      <c r="H121" s="196"/>
      <c r="I121" s="196"/>
      <c r="J121" s="172"/>
      <c r="K121" s="187">
        <f>SUM(K122:K123)</f>
        <v>0</v>
      </c>
      <c r="L121" s="187">
        <f aca="true" t="shared" si="41" ref="L121:W121">SUM(L122:L123)</f>
        <v>0</v>
      </c>
      <c r="M121" s="187">
        <f t="shared" si="41"/>
        <v>280</v>
      </c>
      <c r="N121" s="187">
        <f t="shared" si="41"/>
        <v>0</v>
      </c>
      <c r="O121" s="187">
        <f t="shared" si="41"/>
        <v>280</v>
      </c>
      <c r="P121" s="187">
        <f t="shared" si="41"/>
        <v>0</v>
      </c>
      <c r="Q121" s="187">
        <f t="shared" si="41"/>
        <v>0</v>
      </c>
      <c r="R121" s="187">
        <f t="shared" si="41"/>
        <v>20</v>
      </c>
      <c r="S121" s="187">
        <f t="shared" si="41"/>
        <v>0</v>
      </c>
      <c r="T121" s="187">
        <f t="shared" si="41"/>
        <v>20</v>
      </c>
      <c r="U121" s="187">
        <f t="shared" si="41"/>
        <v>20</v>
      </c>
      <c r="V121" s="171">
        <f t="shared" si="41"/>
        <v>36</v>
      </c>
      <c r="W121" s="172">
        <f t="shared" si="41"/>
        <v>22</v>
      </c>
      <c r="X121" s="168">
        <f t="shared" si="31"/>
        <v>378</v>
      </c>
    </row>
    <row r="122" spans="1:24" ht="30" customHeight="1">
      <c r="A122" s="175" t="s">
        <v>159</v>
      </c>
      <c r="B122" s="198" t="s">
        <v>160</v>
      </c>
      <c r="J122" s="144"/>
      <c r="K122" s="145"/>
      <c r="L122" s="141"/>
      <c r="M122" s="141"/>
      <c r="N122" s="146"/>
      <c r="O122" s="147"/>
      <c r="P122" s="145"/>
      <c r="Q122" s="141"/>
      <c r="R122" s="141">
        <v>20</v>
      </c>
      <c r="S122" s="146"/>
      <c r="T122" s="147">
        <f aca="true" t="shared" si="42" ref="T122:T135">SUM(P122:S122)</f>
        <v>20</v>
      </c>
      <c r="U122" s="148">
        <v>20</v>
      </c>
      <c r="V122" s="147">
        <v>36</v>
      </c>
      <c r="W122" s="148">
        <v>22</v>
      </c>
      <c r="X122" s="168">
        <f t="shared" si="31"/>
        <v>98</v>
      </c>
    </row>
    <row r="123" spans="1:24" ht="30" customHeight="1">
      <c r="A123" s="175" t="s">
        <v>161</v>
      </c>
      <c r="B123" s="199" t="s">
        <v>162</v>
      </c>
      <c r="J123" s="144"/>
      <c r="K123" s="145"/>
      <c r="L123" s="141"/>
      <c r="M123" s="141">
        <v>280</v>
      </c>
      <c r="N123" s="146"/>
      <c r="O123" s="147">
        <f aca="true" t="shared" si="43" ref="O123:O135">SUM(K123:N123)</f>
        <v>280</v>
      </c>
      <c r="P123" s="145"/>
      <c r="Q123" s="141"/>
      <c r="R123" s="141"/>
      <c r="S123" s="146"/>
      <c r="T123" s="147">
        <f t="shared" si="42"/>
        <v>0</v>
      </c>
      <c r="U123" s="148"/>
      <c r="V123" s="147"/>
      <c r="W123" s="148"/>
      <c r="X123" s="168">
        <f t="shared" si="31"/>
        <v>280</v>
      </c>
    </row>
    <row r="124" spans="1:24" ht="30" customHeight="1">
      <c r="A124" s="246"/>
      <c r="B124" s="247" t="s">
        <v>163</v>
      </c>
      <c r="C124" s="248"/>
      <c r="D124" s="249"/>
      <c r="E124" s="250"/>
      <c r="F124" s="225"/>
      <c r="G124" s="225"/>
      <c r="H124" s="225"/>
      <c r="I124" s="226"/>
      <c r="J124" s="227"/>
      <c r="K124" s="228">
        <f>SUM(K125:K128)</f>
        <v>0</v>
      </c>
      <c r="L124" s="228">
        <f aca="true" t="shared" si="44" ref="L124:W124">SUM(L125:L128)</f>
        <v>0</v>
      </c>
      <c r="M124" s="228">
        <f t="shared" si="44"/>
        <v>45</v>
      </c>
      <c r="N124" s="228">
        <f t="shared" si="44"/>
        <v>55</v>
      </c>
      <c r="O124" s="228">
        <f t="shared" si="44"/>
        <v>100</v>
      </c>
      <c r="P124" s="228">
        <f t="shared" si="44"/>
        <v>0</v>
      </c>
      <c r="Q124" s="228">
        <f t="shared" si="44"/>
        <v>30</v>
      </c>
      <c r="R124" s="228">
        <f t="shared" si="44"/>
        <v>0</v>
      </c>
      <c r="S124" s="228">
        <f t="shared" si="44"/>
        <v>150</v>
      </c>
      <c r="T124" s="228">
        <f t="shared" si="44"/>
        <v>180</v>
      </c>
      <c r="U124" s="228">
        <f t="shared" si="44"/>
        <v>0</v>
      </c>
      <c r="V124" s="226">
        <f t="shared" si="44"/>
        <v>0</v>
      </c>
      <c r="W124" s="227">
        <f t="shared" si="44"/>
        <v>0</v>
      </c>
      <c r="X124" s="168">
        <f t="shared" si="31"/>
        <v>280</v>
      </c>
    </row>
    <row r="125" spans="1:24" ht="30" customHeight="1">
      <c r="A125" s="251"/>
      <c r="B125" s="278" t="s">
        <v>164</v>
      </c>
      <c r="C125" s="248"/>
      <c r="D125" s="249"/>
      <c r="E125" s="250"/>
      <c r="F125" s="225"/>
      <c r="G125" s="225"/>
      <c r="H125" s="225"/>
      <c r="I125" s="226"/>
      <c r="J125" s="227"/>
      <c r="K125" s="275"/>
      <c r="L125" s="276"/>
      <c r="M125" s="276"/>
      <c r="N125" s="277">
        <v>30</v>
      </c>
      <c r="O125" s="230">
        <f t="shared" si="43"/>
        <v>30</v>
      </c>
      <c r="P125" s="228"/>
      <c r="Q125" s="225"/>
      <c r="R125" s="225"/>
      <c r="S125" s="229"/>
      <c r="T125" s="230">
        <f t="shared" si="42"/>
        <v>0</v>
      </c>
      <c r="U125" s="231"/>
      <c r="V125" s="230"/>
      <c r="W125" s="231"/>
      <c r="X125" s="168">
        <f t="shared" si="31"/>
        <v>30</v>
      </c>
    </row>
    <row r="126" spans="1:24" ht="30" customHeight="1">
      <c r="A126" s="251"/>
      <c r="B126" s="278" t="s">
        <v>165</v>
      </c>
      <c r="C126" s="248"/>
      <c r="D126" s="249"/>
      <c r="E126" s="250"/>
      <c r="F126" s="225"/>
      <c r="G126" s="225"/>
      <c r="H126" s="225"/>
      <c r="I126" s="226"/>
      <c r="J126" s="227"/>
      <c r="K126" s="275"/>
      <c r="L126" s="276"/>
      <c r="M126" s="276"/>
      <c r="N126" s="277">
        <v>25</v>
      </c>
      <c r="O126" s="230">
        <f t="shared" si="43"/>
        <v>25</v>
      </c>
      <c r="P126" s="228"/>
      <c r="Q126" s="225"/>
      <c r="R126" s="225"/>
      <c r="S126" s="229"/>
      <c r="T126" s="230">
        <f t="shared" si="42"/>
        <v>0</v>
      </c>
      <c r="U126" s="231"/>
      <c r="V126" s="230"/>
      <c r="W126" s="231"/>
      <c r="X126" s="168">
        <f t="shared" si="31"/>
        <v>25</v>
      </c>
    </row>
    <row r="127" spans="1:24" ht="30" customHeight="1">
      <c r="A127" s="251"/>
      <c r="B127" s="278" t="s">
        <v>166</v>
      </c>
      <c r="C127" s="248"/>
      <c r="D127" s="249"/>
      <c r="E127" s="250"/>
      <c r="F127" s="225"/>
      <c r="G127" s="225"/>
      <c r="H127" s="225"/>
      <c r="I127" s="226"/>
      <c r="J127" s="227"/>
      <c r="K127" s="275"/>
      <c r="L127" s="276"/>
      <c r="M127" s="276">
        <v>45</v>
      </c>
      <c r="N127" s="277"/>
      <c r="O127" s="230">
        <f t="shared" si="43"/>
        <v>45</v>
      </c>
      <c r="P127" s="228"/>
      <c r="Q127" s="225"/>
      <c r="R127" s="225"/>
      <c r="S127" s="229">
        <v>150</v>
      </c>
      <c r="T127" s="230">
        <f t="shared" si="42"/>
        <v>150</v>
      </c>
      <c r="U127" s="231"/>
      <c r="V127" s="230"/>
      <c r="W127" s="231"/>
      <c r="X127" s="168">
        <f t="shared" si="31"/>
        <v>195</v>
      </c>
    </row>
    <row r="128" spans="1:24" ht="30" customHeight="1">
      <c r="A128" s="251"/>
      <c r="B128" s="278" t="s">
        <v>167</v>
      </c>
      <c r="C128" s="248"/>
      <c r="D128" s="249"/>
      <c r="E128" s="250"/>
      <c r="F128" s="225"/>
      <c r="G128" s="225"/>
      <c r="H128" s="225"/>
      <c r="I128" s="226"/>
      <c r="J128" s="227"/>
      <c r="K128" s="275"/>
      <c r="L128" s="276"/>
      <c r="M128" s="276"/>
      <c r="N128" s="277"/>
      <c r="O128" s="230">
        <f t="shared" si="43"/>
        <v>0</v>
      </c>
      <c r="P128" s="228"/>
      <c r="Q128" s="225">
        <v>30</v>
      </c>
      <c r="R128" s="225"/>
      <c r="S128" s="229"/>
      <c r="T128" s="230">
        <f t="shared" si="42"/>
        <v>30</v>
      </c>
      <c r="U128" s="231"/>
      <c r="V128" s="230"/>
      <c r="W128" s="231"/>
      <c r="X128" s="168">
        <f t="shared" si="31"/>
        <v>30</v>
      </c>
    </row>
    <row r="129" spans="1:24" ht="30" customHeight="1">
      <c r="A129" s="246"/>
      <c r="B129" s="246" t="s">
        <v>168</v>
      </c>
      <c r="C129" s="246"/>
      <c r="D129" s="246"/>
      <c r="E129" s="246"/>
      <c r="F129" s="246"/>
      <c r="G129" s="246"/>
      <c r="H129" s="246"/>
      <c r="I129" s="246"/>
      <c r="J129" s="246"/>
      <c r="K129" s="312">
        <f>SUM(K130:K132)</f>
        <v>0</v>
      </c>
      <c r="L129" s="312">
        <f aca="true" t="shared" si="45" ref="L129:W129">SUM(L130:L132)</f>
        <v>0</v>
      </c>
      <c r="M129" s="312">
        <f t="shared" si="45"/>
        <v>0</v>
      </c>
      <c r="N129" s="312">
        <f t="shared" si="45"/>
        <v>165</v>
      </c>
      <c r="O129" s="312">
        <f t="shared" si="45"/>
        <v>165</v>
      </c>
      <c r="P129" s="312">
        <f t="shared" si="45"/>
        <v>0</v>
      </c>
      <c r="Q129" s="312">
        <f t="shared" si="45"/>
        <v>90</v>
      </c>
      <c r="R129" s="312">
        <f t="shared" si="45"/>
        <v>0</v>
      </c>
      <c r="S129" s="312">
        <f t="shared" si="45"/>
        <v>165</v>
      </c>
      <c r="T129" s="312">
        <f t="shared" si="45"/>
        <v>255</v>
      </c>
      <c r="U129" s="312">
        <f t="shared" si="45"/>
        <v>255</v>
      </c>
      <c r="V129" s="331">
        <f t="shared" si="45"/>
        <v>255</v>
      </c>
      <c r="W129" s="312">
        <f t="shared" si="45"/>
        <v>90</v>
      </c>
      <c r="X129" s="168">
        <f t="shared" si="31"/>
        <v>1020</v>
      </c>
    </row>
    <row r="130" spans="1:24" ht="30" customHeight="1">
      <c r="A130" s="251"/>
      <c r="B130" s="278" t="s">
        <v>164</v>
      </c>
      <c r="C130" s="248"/>
      <c r="D130" s="249"/>
      <c r="E130" s="250"/>
      <c r="F130" s="225"/>
      <c r="G130" s="225"/>
      <c r="H130" s="225"/>
      <c r="I130" s="226"/>
      <c r="J130" s="227"/>
      <c r="K130" s="228"/>
      <c r="L130" s="225"/>
      <c r="M130" s="225"/>
      <c r="N130" s="229">
        <v>90</v>
      </c>
      <c r="O130" s="230">
        <f t="shared" si="43"/>
        <v>90</v>
      </c>
      <c r="P130" s="228"/>
      <c r="Q130" s="225"/>
      <c r="R130" s="225"/>
      <c r="S130" s="229">
        <v>90</v>
      </c>
      <c r="T130" s="230">
        <f t="shared" si="42"/>
        <v>90</v>
      </c>
      <c r="U130" s="231">
        <v>90</v>
      </c>
      <c r="V130" s="230">
        <v>90</v>
      </c>
      <c r="W130" s="231"/>
      <c r="X130" s="168">
        <f t="shared" si="31"/>
        <v>360</v>
      </c>
    </row>
    <row r="131" spans="1:24" ht="30" customHeight="1">
      <c r="A131" s="251"/>
      <c r="B131" s="278" t="s">
        <v>165</v>
      </c>
      <c r="C131" s="248"/>
      <c r="D131" s="249"/>
      <c r="E131" s="250"/>
      <c r="F131" s="225"/>
      <c r="G131" s="225"/>
      <c r="H131" s="225"/>
      <c r="I131" s="226"/>
      <c r="J131" s="227"/>
      <c r="K131" s="228"/>
      <c r="L131" s="225"/>
      <c r="M131" s="225"/>
      <c r="N131" s="229">
        <v>75</v>
      </c>
      <c r="O131" s="230">
        <f t="shared" si="43"/>
        <v>75</v>
      </c>
      <c r="P131" s="228"/>
      <c r="Q131" s="225"/>
      <c r="R131" s="225"/>
      <c r="S131" s="229">
        <v>75</v>
      </c>
      <c r="T131" s="230">
        <f t="shared" si="42"/>
        <v>75</v>
      </c>
      <c r="U131" s="231">
        <v>75</v>
      </c>
      <c r="V131" s="230">
        <v>75</v>
      </c>
      <c r="W131" s="231"/>
      <c r="X131" s="168">
        <f t="shared" si="31"/>
        <v>300</v>
      </c>
    </row>
    <row r="132" spans="1:24" ht="30" customHeight="1">
      <c r="A132" s="251"/>
      <c r="B132" s="278" t="s">
        <v>167</v>
      </c>
      <c r="C132" s="321"/>
      <c r="D132" s="322"/>
      <c r="E132" s="321"/>
      <c r="F132" s="321"/>
      <c r="G132" s="321"/>
      <c r="H132" s="321"/>
      <c r="I132" s="321"/>
      <c r="J132" s="227"/>
      <c r="K132" s="228"/>
      <c r="L132" s="225"/>
      <c r="M132" s="225"/>
      <c r="N132" s="229"/>
      <c r="O132" s="230">
        <f t="shared" si="43"/>
        <v>0</v>
      </c>
      <c r="P132" s="228"/>
      <c r="Q132" s="225">
        <v>90</v>
      </c>
      <c r="R132" s="225"/>
      <c r="S132" s="229"/>
      <c r="T132" s="230">
        <f t="shared" si="42"/>
        <v>90</v>
      </c>
      <c r="U132" s="231">
        <v>90</v>
      </c>
      <c r="V132" s="230">
        <v>90</v>
      </c>
      <c r="W132" s="231">
        <v>90</v>
      </c>
      <c r="X132" s="168">
        <f t="shared" si="31"/>
        <v>360</v>
      </c>
    </row>
    <row r="133" spans="1:24" ht="30" customHeight="1">
      <c r="A133" s="246"/>
      <c r="B133" s="246" t="s">
        <v>169</v>
      </c>
      <c r="C133" s="321"/>
      <c r="D133" s="322"/>
      <c r="E133" s="321"/>
      <c r="F133" s="321"/>
      <c r="G133" s="321"/>
      <c r="H133" s="321"/>
      <c r="I133" s="321"/>
      <c r="J133" s="246"/>
      <c r="K133" s="312">
        <f>SUM(K134:K135)</f>
        <v>0</v>
      </c>
      <c r="L133" s="312">
        <f aca="true" t="shared" si="46" ref="L133:W133">SUM(L134:L135)</f>
        <v>0</v>
      </c>
      <c r="M133" s="312">
        <f t="shared" si="46"/>
        <v>0</v>
      </c>
      <c r="N133" s="312">
        <f t="shared" si="46"/>
        <v>0</v>
      </c>
      <c r="O133" s="312">
        <f t="shared" si="46"/>
        <v>0</v>
      </c>
      <c r="P133" s="312">
        <f t="shared" si="46"/>
        <v>0</v>
      </c>
      <c r="Q133" s="312">
        <f t="shared" si="46"/>
        <v>0</v>
      </c>
      <c r="R133" s="312">
        <f t="shared" si="46"/>
        <v>135</v>
      </c>
      <c r="S133" s="312">
        <f t="shared" si="46"/>
        <v>0</v>
      </c>
      <c r="T133" s="312">
        <f t="shared" si="46"/>
        <v>135</v>
      </c>
      <c r="U133" s="312">
        <f t="shared" si="46"/>
        <v>540</v>
      </c>
      <c r="V133" s="331">
        <f t="shared" si="46"/>
        <v>0</v>
      </c>
      <c r="W133" s="312">
        <f t="shared" si="46"/>
        <v>0</v>
      </c>
      <c r="X133" s="168">
        <f t="shared" si="31"/>
        <v>675</v>
      </c>
    </row>
    <row r="134" spans="1:24" ht="30" customHeight="1">
      <c r="A134" s="251"/>
      <c r="B134" s="278" t="s">
        <v>167</v>
      </c>
      <c r="C134" s="321"/>
      <c r="D134" s="322"/>
      <c r="E134" s="321"/>
      <c r="F134" s="321"/>
      <c r="G134" s="321"/>
      <c r="H134" s="321"/>
      <c r="I134" s="321"/>
      <c r="J134" s="227"/>
      <c r="K134" s="228"/>
      <c r="L134" s="225"/>
      <c r="M134" s="225"/>
      <c r="N134" s="229"/>
      <c r="O134" s="230">
        <f t="shared" si="43"/>
        <v>0</v>
      </c>
      <c r="P134" s="228"/>
      <c r="Q134" s="225"/>
      <c r="R134" s="225"/>
      <c r="S134" s="229"/>
      <c r="T134" s="230">
        <f t="shared" si="42"/>
        <v>0</v>
      </c>
      <c r="U134" s="231">
        <v>90</v>
      </c>
      <c r="V134" s="230"/>
      <c r="W134" s="231"/>
      <c r="X134" s="168">
        <f aca="true" t="shared" si="47" ref="X134:X141">O134+T134+U134+V134+W134</f>
        <v>90</v>
      </c>
    </row>
    <row r="135" spans="1:24" ht="30" customHeight="1">
      <c r="A135" s="251"/>
      <c r="B135" s="278" t="s">
        <v>166</v>
      </c>
      <c r="C135" s="321"/>
      <c r="D135" s="322"/>
      <c r="E135" s="321"/>
      <c r="F135" s="321"/>
      <c r="G135" s="321"/>
      <c r="H135" s="321"/>
      <c r="I135" s="321"/>
      <c r="J135" s="227"/>
      <c r="K135" s="228"/>
      <c r="L135" s="225"/>
      <c r="M135" s="225"/>
      <c r="N135" s="229"/>
      <c r="O135" s="230">
        <f t="shared" si="43"/>
        <v>0</v>
      </c>
      <c r="P135" s="228"/>
      <c r="Q135" s="225"/>
      <c r="R135" s="225">
        <v>135</v>
      </c>
      <c r="S135" s="229"/>
      <c r="T135" s="230">
        <f t="shared" si="42"/>
        <v>135</v>
      </c>
      <c r="U135" s="231">
        <v>450</v>
      </c>
      <c r="V135" s="230"/>
      <c r="W135" s="231"/>
      <c r="X135" s="168">
        <f t="shared" si="47"/>
        <v>585</v>
      </c>
    </row>
    <row r="136" spans="1:24" ht="30" customHeight="1">
      <c r="A136" s="246"/>
      <c r="B136" s="246" t="s">
        <v>169</v>
      </c>
      <c r="C136" s="321"/>
      <c r="D136" s="322"/>
      <c r="E136" s="321"/>
      <c r="F136" s="321"/>
      <c r="G136" s="321"/>
      <c r="H136" s="321"/>
      <c r="I136" s="321"/>
      <c r="J136" s="246"/>
      <c r="K136" s="312">
        <f>SUM(K137:K138)</f>
        <v>0</v>
      </c>
      <c r="L136" s="312">
        <f aca="true" t="shared" si="48" ref="L136:W136">SUM(L137:L138)</f>
        <v>0</v>
      </c>
      <c r="M136" s="312">
        <f t="shared" si="48"/>
        <v>0</v>
      </c>
      <c r="N136" s="312">
        <f t="shared" si="48"/>
        <v>0</v>
      </c>
      <c r="O136" s="312">
        <f t="shared" si="48"/>
        <v>0</v>
      </c>
      <c r="P136" s="312">
        <f t="shared" si="48"/>
        <v>0</v>
      </c>
      <c r="Q136" s="312">
        <f t="shared" si="48"/>
        <v>0</v>
      </c>
      <c r="R136" s="312">
        <f t="shared" si="48"/>
        <v>0</v>
      </c>
      <c r="S136" s="312">
        <f t="shared" si="48"/>
        <v>0</v>
      </c>
      <c r="T136" s="312">
        <f t="shared" si="48"/>
        <v>0</v>
      </c>
      <c r="U136" s="312">
        <f t="shared" si="48"/>
        <v>135</v>
      </c>
      <c r="V136" s="331">
        <f t="shared" si="48"/>
        <v>540</v>
      </c>
      <c r="W136" s="312">
        <f t="shared" si="48"/>
        <v>0</v>
      </c>
      <c r="X136" s="168">
        <f t="shared" si="47"/>
        <v>675</v>
      </c>
    </row>
    <row r="137" spans="1:24" ht="30" customHeight="1">
      <c r="A137" s="251"/>
      <c r="B137" s="278" t="s">
        <v>167</v>
      </c>
      <c r="C137" s="321"/>
      <c r="D137" s="322"/>
      <c r="E137" s="321"/>
      <c r="F137" s="321"/>
      <c r="G137" s="321"/>
      <c r="H137" s="321"/>
      <c r="I137" s="321"/>
      <c r="J137" s="227"/>
      <c r="K137" s="228"/>
      <c r="L137" s="225"/>
      <c r="M137" s="225"/>
      <c r="N137" s="229"/>
      <c r="O137" s="230">
        <f>SUM(K137:N137)</f>
        <v>0</v>
      </c>
      <c r="P137" s="226"/>
      <c r="Q137" s="225"/>
      <c r="R137" s="225"/>
      <c r="S137" s="225"/>
      <c r="T137" s="323">
        <f>SUM(P137:S137)</f>
        <v>0</v>
      </c>
      <c r="U137" s="324"/>
      <c r="V137" s="332">
        <v>90</v>
      </c>
      <c r="W137" s="231"/>
      <c r="X137" s="168">
        <f t="shared" si="47"/>
        <v>90</v>
      </c>
    </row>
    <row r="138" spans="1:24" ht="30" customHeight="1">
      <c r="A138" s="251"/>
      <c r="B138" s="278" t="s">
        <v>166</v>
      </c>
      <c r="C138" s="321"/>
      <c r="D138" s="322"/>
      <c r="E138" s="321"/>
      <c r="F138" s="321"/>
      <c r="G138" s="321"/>
      <c r="H138" s="321"/>
      <c r="I138" s="321"/>
      <c r="J138" s="227"/>
      <c r="K138" s="228"/>
      <c r="L138" s="225"/>
      <c r="M138" s="225"/>
      <c r="N138" s="229"/>
      <c r="O138" s="230">
        <f>SUM(K138:N138)</f>
        <v>0</v>
      </c>
      <c r="P138" s="226"/>
      <c r="Q138" s="225"/>
      <c r="R138" s="324"/>
      <c r="S138" s="225"/>
      <c r="T138" s="323">
        <f>SUM(P138:S138)</f>
        <v>0</v>
      </c>
      <c r="U138" s="225">
        <v>135</v>
      </c>
      <c r="V138" s="332">
        <v>450</v>
      </c>
      <c r="W138" s="231"/>
      <c r="X138" s="168">
        <f t="shared" si="47"/>
        <v>585</v>
      </c>
    </row>
    <row r="139" spans="1:24" ht="30" customHeight="1">
      <c r="A139" s="246"/>
      <c r="B139" s="246" t="s">
        <v>169</v>
      </c>
      <c r="C139" s="321"/>
      <c r="D139" s="322"/>
      <c r="E139" s="321"/>
      <c r="F139" s="321"/>
      <c r="G139" s="321"/>
      <c r="H139" s="321"/>
      <c r="I139" s="321"/>
      <c r="J139" s="246"/>
      <c r="K139" s="312">
        <f>SUM(K140:K141)</f>
        <v>0</v>
      </c>
      <c r="L139" s="312">
        <f aca="true" t="shared" si="49" ref="L139:W139">SUM(L140:L141)</f>
        <v>0</v>
      </c>
      <c r="M139" s="312">
        <f t="shared" si="49"/>
        <v>0</v>
      </c>
      <c r="N139" s="312">
        <f t="shared" si="49"/>
        <v>0</v>
      </c>
      <c r="O139" s="312">
        <f t="shared" si="49"/>
        <v>0</v>
      </c>
      <c r="P139" s="312">
        <f t="shared" si="49"/>
        <v>0</v>
      </c>
      <c r="Q139" s="312">
        <f t="shared" si="49"/>
        <v>0</v>
      </c>
      <c r="R139" s="312">
        <f t="shared" si="49"/>
        <v>0</v>
      </c>
      <c r="S139" s="312">
        <f t="shared" si="49"/>
        <v>0</v>
      </c>
      <c r="T139" s="312">
        <f t="shared" si="49"/>
        <v>0</v>
      </c>
      <c r="U139" s="312">
        <f t="shared" si="49"/>
        <v>0</v>
      </c>
      <c r="V139" s="331">
        <f t="shared" si="49"/>
        <v>135</v>
      </c>
      <c r="W139" s="312">
        <f t="shared" si="49"/>
        <v>540</v>
      </c>
      <c r="X139" s="168">
        <f t="shared" si="47"/>
        <v>675</v>
      </c>
    </row>
    <row r="140" spans="1:24" ht="30" customHeight="1">
      <c r="A140" s="251"/>
      <c r="B140" s="278" t="s">
        <v>167</v>
      </c>
      <c r="C140" s="321"/>
      <c r="D140" s="322"/>
      <c r="E140" s="321"/>
      <c r="F140" s="321"/>
      <c r="G140" s="321"/>
      <c r="H140" s="321"/>
      <c r="I140" s="321"/>
      <c r="J140" s="227"/>
      <c r="K140" s="228"/>
      <c r="L140" s="225"/>
      <c r="M140" s="225"/>
      <c r="N140" s="229"/>
      <c r="O140" s="230">
        <f>SUM(K140:N140)</f>
        <v>0</v>
      </c>
      <c r="P140" s="226"/>
      <c r="Q140" s="225"/>
      <c r="R140" s="225"/>
      <c r="S140" s="225"/>
      <c r="T140" s="323">
        <f>SUM(P140:S140)</f>
        <v>0</v>
      </c>
      <c r="U140" s="324"/>
      <c r="V140" s="333"/>
      <c r="W140" s="231">
        <v>90</v>
      </c>
      <c r="X140" s="168">
        <f t="shared" si="47"/>
        <v>90</v>
      </c>
    </row>
    <row r="141" spans="1:24" ht="30" customHeight="1">
      <c r="A141" s="251"/>
      <c r="B141" s="278" t="s">
        <v>170</v>
      </c>
      <c r="C141" s="321"/>
      <c r="D141" s="322"/>
      <c r="E141" s="321"/>
      <c r="F141" s="321"/>
      <c r="G141" s="321"/>
      <c r="H141" s="321"/>
      <c r="I141" s="321"/>
      <c r="J141" s="227"/>
      <c r="K141" s="228"/>
      <c r="L141" s="225"/>
      <c r="M141" s="225"/>
      <c r="N141" s="229"/>
      <c r="O141" s="230">
        <f>SUM(K141:N141)</f>
        <v>0</v>
      </c>
      <c r="P141" s="226"/>
      <c r="Q141" s="225"/>
      <c r="R141" s="324"/>
      <c r="S141" s="225"/>
      <c r="T141" s="323">
        <f>SUM(P141:S141)</f>
        <v>0</v>
      </c>
      <c r="U141" s="324"/>
      <c r="V141" s="334">
        <v>135</v>
      </c>
      <c r="W141" s="231">
        <v>450</v>
      </c>
      <c r="X141" s="168">
        <f t="shared" si="47"/>
        <v>585</v>
      </c>
    </row>
    <row r="142" ht="30" customHeight="1"/>
    <row r="143" spans="15:23" ht="30" customHeight="1">
      <c r="O143" s="201">
        <f>SUM(O72:O141:O141)</f>
        <v>9604</v>
      </c>
      <c r="P143" s="201">
        <f>SUM(P72:P141:P141)</f>
        <v>0</v>
      </c>
      <c r="Q143" s="201"/>
      <c r="R143" s="201"/>
      <c r="S143" s="201"/>
      <c r="T143" s="201">
        <f>SUM(T72:T141:T141)</f>
        <v>5271</v>
      </c>
      <c r="U143" s="201">
        <f>SUM(U72:U141:U141)</f>
        <v>9404</v>
      </c>
      <c r="V143" s="201">
        <f>SUM(V72:V141:V141)</f>
        <v>12501</v>
      </c>
      <c r="W143" s="201">
        <f>SUM(W72:W141:W141)</f>
        <v>2003</v>
      </c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</sheetData>
  <sheetProtection/>
  <mergeCells count="10">
    <mergeCell ref="V4:V5"/>
    <mergeCell ref="W4:W5"/>
    <mergeCell ref="A1:U1"/>
    <mergeCell ref="A2:U2"/>
    <mergeCell ref="C4:C5"/>
    <mergeCell ref="E4:I4"/>
    <mergeCell ref="J4:J5"/>
    <mergeCell ref="K4:O4"/>
    <mergeCell ref="P4:T4"/>
    <mergeCell ref="U4:U5"/>
  </mergeCells>
  <printOptions/>
  <pageMargins left="0.1968503937007874" right="0.1968503937007874" top="0.7874015748031497" bottom="0.1968503937007874" header="0.1968503937007874" footer="0.15748031496062992"/>
  <pageSetup fitToHeight="2" horizontalDpi="600" verticalDpi="600" orientation="portrait" paperSize="9" scale="55" r:id="rId3"/>
  <headerFooter alignWithMargins="0">
    <oddFooter>&amp;C1.&amp;P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2"/>
  <sheetViews>
    <sheetView showZeros="0" zoomScalePageLayoutView="0" workbookViewId="0" topLeftCell="A1">
      <pane xSplit="2" ySplit="5" topLeftCell="J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55" sqref="O55"/>
    </sheetView>
  </sheetViews>
  <sheetFormatPr defaultColWidth="9.140625" defaultRowHeight="12.75" customHeight="1"/>
  <cols>
    <col min="1" max="1" width="7.421875" style="200" customWidth="1"/>
    <col min="2" max="2" width="40.140625" style="34" customWidth="1"/>
    <col min="3" max="3" width="8.7109375" style="34" hidden="1" customWidth="1"/>
    <col min="4" max="4" width="13.57421875" style="194" hidden="1" customWidth="1"/>
    <col min="5" max="8" width="8.7109375" style="34" hidden="1" customWidth="1"/>
    <col min="9" max="9" width="12.7109375" style="34" hidden="1" customWidth="1"/>
    <col min="10" max="10" width="8.28125" style="34" customWidth="1"/>
    <col min="11" max="11" width="10.421875" style="150" customWidth="1"/>
    <col min="12" max="14" width="8.7109375" style="150" customWidth="1"/>
    <col min="15" max="15" width="10.8515625" style="34" customWidth="1"/>
    <col min="16" max="19" width="8.7109375" style="150" customWidth="1"/>
    <col min="20" max="20" width="10.8515625" style="34" customWidth="1"/>
    <col min="21" max="21" width="9.140625" style="34" customWidth="1"/>
    <col min="22" max="22" width="11.7109375" style="34" customWidth="1"/>
    <col min="23" max="23" width="9.140625" style="34" customWidth="1"/>
    <col min="24" max="24" width="10.140625" style="34" customWidth="1"/>
    <col min="25" max="16384" width="9.140625" style="34" customWidth="1"/>
  </cols>
  <sheetData>
    <row r="1" spans="1:21" ht="12.75" customHeight="1">
      <c r="A1" s="1020" t="s">
        <v>41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</row>
    <row r="2" spans="1:21" ht="12.75" customHeight="1">
      <c r="A2" s="1020" t="s">
        <v>0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</row>
    <row r="3" spans="1:26" ht="12.75" customHeight="1" thickBot="1">
      <c r="A3" s="35"/>
      <c r="B3" s="36"/>
      <c r="C3" s="36"/>
      <c r="D3" s="37"/>
      <c r="E3" s="36"/>
      <c r="F3" s="36"/>
      <c r="G3" s="36"/>
      <c r="H3" s="36"/>
      <c r="I3" s="36"/>
      <c r="J3" s="36"/>
      <c r="K3" s="38"/>
      <c r="L3" s="38"/>
      <c r="M3" s="38"/>
      <c r="N3" s="38"/>
      <c r="O3" s="36"/>
      <c r="P3" s="38"/>
      <c r="Q3" s="38"/>
      <c r="R3" s="38"/>
      <c r="S3" s="38"/>
      <c r="T3" s="36"/>
      <c r="Z3" s="201">
        <f>Z4-AA4</f>
        <v>24090</v>
      </c>
    </row>
    <row r="4" spans="1:27" ht="18.75" customHeight="1" thickBot="1">
      <c r="A4" s="338" t="s">
        <v>1</v>
      </c>
      <c r="B4" s="40" t="s">
        <v>2</v>
      </c>
      <c r="C4" s="1030" t="s">
        <v>3</v>
      </c>
      <c r="D4" s="339" t="s">
        <v>4</v>
      </c>
      <c r="E4" s="1023">
        <v>2009</v>
      </c>
      <c r="F4" s="1023"/>
      <c r="G4" s="1023"/>
      <c r="H4" s="1023"/>
      <c r="I4" s="1023"/>
      <c r="J4" s="1024" t="s">
        <v>42</v>
      </c>
      <c r="K4" s="1023">
        <v>2012</v>
      </c>
      <c r="L4" s="1023"/>
      <c r="M4" s="1023"/>
      <c r="N4" s="1023"/>
      <c r="O4" s="1027"/>
      <c r="P4" s="1026">
        <v>2013</v>
      </c>
      <c r="Q4" s="1023"/>
      <c r="R4" s="1023"/>
      <c r="S4" s="1023"/>
      <c r="T4" s="1027"/>
      <c r="U4" s="1018">
        <v>2014</v>
      </c>
      <c r="V4" s="1018">
        <v>2015</v>
      </c>
      <c r="W4" s="1028">
        <v>2016</v>
      </c>
      <c r="Z4" s="34">
        <v>24090</v>
      </c>
      <c r="AA4" s="201">
        <f>SUM(O73+O74+T73+T74)</f>
        <v>0</v>
      </c>
    </row>
    <row r="5" spans="1:26" ht="32.25" customHeight="1" thickBot="1">
      <c r="A5" s="340" t="s">
        <v>5</v>
      </c>
      <c r="B5" s="44" t="s">
        <v>6</v>
      </c>
      <c r="C5" s="1031"/>
      <c r="D5" s="45" t="s">
        <v>7</v>
      </c>
      <c r="E5" s="46" t="s">
        <v>8</v>
      </c>
      <c r="F5" s="47" t="s">
        <v>9</v>
      </c>
      <c r="G5" s="47" t="s">
        <v>10</v>
      </c>
      <c r="H5" s="48" t="s">
        <v>11</v>
      </c>
      <c r="I5" s="42" t="s">
        <v>12</v>
      </c>
      <c r="J5" s="1025"/>
      <c r="K5" s="341" t="s">
        <v>8</v>
      </c>
      <c r="L5" s="50" t="s">
        <v>9</v>
      </c>
      <c r="M5" s="50" t="s">
        <v>10</v>
      </c>
      <c r="N5" s="342" t="s">
        <v>11</v>
      </c>
      <c r="O5" s="343" t="s">
        <v>12</v>
      </c>
      <c r="P5" s="341" t="s">
        <v>8</v>
      </c>
      <c r="Q5" s="50" t="s">
        <v>9</v>
      </c>
      <c r="R5" s="50" t="s">
        <v>10</v>
      </c>
      <c r="S5" s="342" t="s">
        <v>11</v>
      </c>
      <c r="T5" s="343" t="s">
        <v>12</v>
      </c>
      <c r="U5" s="1029"/>
      <c r="V5" s="1019"/>
      <c r="W5" s="1029"/>
      <c r="Z5" s="201">
        <f>Z4-Y14</f>
        <v>992</v>
      </c>
    </row>
    <row r="6" spans="1:23" ht="12.75" customHeight="1" hidden="1">
      <c r="A6" s="344" t="s">
        <v>13</v>
      </c>
      <c r="B6" s="54" t="s">
        <v>14</v>
      </c>
      <c r="C6" s="345" t="e">
        <f>SUM(C7:C11,#REF!,#REF!)</f>
        <v>#REF!</v>
      </c>
      <c r="D6" s="56"/>
      <c r="E6" s="57" t="e">
        <f>SUM(E7:E11,#REF!,#REF!)</f>
        <v>#REF!</v>
      </c>
      <c r="F6" s="58" t="e">
        <f>SUM(F7:F11,#REF!,#REF!)</f>
        <v>#REF!</v>
      </c>
      <c r="G6" s="58" t="e">
        <f>SUM(G7:G11,#REF!,#REF!)</f>
        <v>#REF!</v>
      </c>
      <c r="H6" s="59" t="e">
        <f>SUM(H7:H11,#REF!,#REF!)</f>
        <v>#REF!</v>
      </c>
      <c r="I6" s="60"/>
      <c r="J6" s="61"/>
      <c r="K6" s="346">
        <f aca="true" t="shared" si="0" ref="K6:W6">SUM(K7:K11)</f>
        <v>0</v>
      </c>
      <c r="L6" s="63">
        <f t="shared" si="0"/>
        <v>0</v>
      </c>
      <c r="M6" s="63">
        <f t="shared" si="0"/>
        <v>0</v>
      </c>
      <c r="N6" s="347">
        <f t="shared" si="0"/>
        <v>0</v>
      </c>
      <c r="O6" s="64">
        <f t="shared" si="0"/>
        <v>0</v>
      </c>
      <c r="P6" s="346">
        <f t="shared" si="0"/>
        <v>0</v>
      </c>
      <c r="Q6" s="63">
        <f t="shared" si="0"/>
        <v>0</v>
      </c>
      <c r="R6" s="63">
        <f t="shared" si="0"/>
        <v>0</v>
      </c>
      <c r="S6" s="347">
        <f t="shared" si="0"/>
        <v>0</v>
      </c>
      <c r="T6" s="64">
        <f t="shared" si="0"/>
        <v>0</v>
      </c>
      <c r="U6" s="348">
        <f t="shared" si="0"/>
        <v>0</v>
      </c>
      <c r="V6" s="66">
        <f t="shared" si="0"/>
        <v>0</v>
      </c>
      <c r="W6" s="348">
        <f t="shared" si="0"/>
        <v>0</v>
      </c>
    </row>
    <row r="7" spans="1:23" s="36" customFormat="1" ht="12.75" customHeight="1" hidden="1">
      <c r="A7" s="349" t="s">
        <v>15</v>
      </c>
      <c r="B7" s="68" t="s">
        <v>16</v>
      </c>
      <c r="C7" s="350"/>
      <c r="D7" s="70"/>
      <c r="E7" s="71"/>
      <c r="F7" s="72"/>
      <c r="G7" s="72"/>
      <c r="H7" s="73">
        <v>2986.5</v>
      </c>
      <c r="I7" s="74"/>
      <c r="J7" s="75"/>
      <c r="K7" s="351"/>
      <c r="L7" s="77"/>
      <c r="M7" s="77"/>
      <c r="N7" s="352"/>
      <c r="O7" s="79">
        <f>SUM(K7:N7)</f>
        <v>0</v>
      </c>
      <c r="P7" s="351"/>
      <c r="Q7" s="77"/>
      <c r="R7" s="77"/>
      <c r="S7" s="352"/>
      <c r="T7" s="79">
        <f>SUM(P7:S7)</f>
        <v>0</v>
      </c>
      <c r="U7" s="353"/>
      <c r="V7" s="80"/>
      <c r="W7" s="353"/>
    </row>
    <row r="8" spans="1:23" s="36" customFormat="1" ht="12.75" customHeight="1" hidden="1">
      <c r="A8" s="349" t="s">
        <v>17</v>
      </c>
      <c r="B8" s="68" t="s">
        <v>18</v>
      </c>
      <c r="C8" s="350"/>
      <c r="D8" s="70"/>
      <c r="E8" s="71"/>
      <c r="F8" s="72"/>
      <c r="G8" s="72"/>
      <c r="H8" s="73">
        <v>2644.7</v>
      </c>
      <c r="I8" s="74"/>
      <c r="J8" s="75"/>
      <c r="K8" s="351"/>
      <c r="L8" s="77"/>
      <c r="M8" s="77"/>
      <c r="N8" s="352"/>
      <c r="O8" s="79">
        <f>SUM(K8:N8)</f>
        <v>0</v>
      </c>
      <c r="P8" s="351">
        <f>O13</f>
        <v>0</v>
      </c>
      <c r="Q8" s="77"/>
      <c r="R8" s="77"/>
      <c r="S8" s="352"/>
      <c r="T8" s="79">
        <f>SUM(P8:S8)</f>
        <v>0</v>
      </c>
      <c r="U8" s="353"/>
      <c r="V8" s="80"/>
      <c r="W8" s="353"/>
    </row>
    <row r="9" spans="1:23" s="36" customFormat="1" ht="12.75" customHeight="1" hidden="1">
      <c r="A9" s="349" t="s">
        <v>19</v>
      </c>
      <c r="B9" s="81" t="s">
        <v>20</v>
      </c>
      <c r="C9" s="354"/>
      <c r="D9" s="83"/>
      <c r="E9" s="71"/>
      <c r="F9" s="72"/>
      <c r="G9" s="72"/>
      <c r="H9" s="73"/>
      <c r="I9" s="74"/>
      <c r="J9" s="75"/>
      <c r="K9" s="351"/>
      <c r="L9" s="77"/>
      <c r="M9" s="77"/>
      <c r="N9" s="352"/>
      <c r="O9" s="79">
        <f>SUM(K9:N9)</f>
        <v>0</v>
      </c>
      <c r="P9" s="351"/>
      <c r="Q9" s="77"/>
      <c r="R9" s="77"/>
      <c r="S9" s="352"/>
      <c r="T9" s="79">
        <f>SUM(P9:S9)</f>
        <v>0</v>
      </c>
      <c r="U9" s="353"/>
      <c r="V9" s="80"/>
      <c r="W9" s="353"/>
    </row>
    <row r="10" spans="1:23" s="36" customFormat="1" ht="12.75" customHeight="1" hidden="1">
      <c r="A10" s="349" t="s">
        <v>21</v>
      </c>
      <c r="B10" s="81" t="s">
        <v>22</v>
      </c>
      <c r="C10" s="354"/>
      <c r="D10" s="83"/>
      <c r="E10" s="71"/>
      <c r="F10" s="72"/>
      <c r="G10" s="72"/>
      <c r="H10" s="73"/>
      <c r="I10" s="74"/>
      <c r="J10" s="75"/>
      <c r="K10" s="351"/>
      <c r="L10" s="77"/>
      <c r="M10" s="77"/>
      <c r="N10" s="352"/>
      <c r="O10" s="79">
        <f>SUM(K10:N10)</f>
        <v>0</v>
      </c>
      <c r="P10" s="351"/>
      <c r="Q10" s="77"/>
      <c r="R10" s="77"/>
      <c r="S10" s="352"/>
      <c r="T10" s="79">
        <f>SUM(P10:S10)</f>
        <v>0</v>
      </c>
      <c r="U10" s="353"/>
      <c r="V10" s="80"/>
      <c r="W10" s="353"/>
    </row>
    <row r="11" spans="1:23" s="36" customFormat="1" ht="12.75" customHeight="1" hidden="1" thickBot="1">
      <c r="A11" s="349" t="s">
        <v>23</v>
      </c>
      <c r="B11" s="81" t="s">
        <v>24</v>
      </c>
      <c r="C11" s="354"/>
      <c r="D11" s="83"/>
      <c r="E11" s="71"/>
      <c r="F11" s="72"/>
      <c r="G11" s="72"/>
      <c r="H11" s="73">
        <v>4800</v>
      </c>
      <c r="I11" s="74"/>
      <c r="J11" s="75"/>
      <c r="K11" s="355"/>
      <c r="L11" s="85"/>
      <c r="M11" s="85"/>
      <c r="N11" s="356"/>
      <c r="O11" s="79">
        <f>SUM(K11:N11)</f>
        <v>0</v>
      </c>
      <c r="P11" s="355"/>
      <c r="Q11" s="85"/>
      <c r="R11" s="85"/>
      <c r="S11" s="356"/>
      <c r="T11" s="79">
        <f>SUM(P11:S11)</f>
        <v>0</v>
      </c>
      <c r="U11" s="353"/>
      <c r="V11" s="80"/>
      <c r="W11" s="353"/>
    </row>
    <row r="12" spans="1:23" ht="12.75" customHeight="1" hidden="1" thickTop="1">
      <c r="A12" s="357" t="s">
        <v>25</v>
      </c>
      <c r="B12" s="358" t="s">
        <v>26</v>
      </c>
      <c r="C12" s="359"/>
      <c r="D12" s="90"/>
      <c r="E12" s="91"/>
      <c r="F12" s="92"/>
      <c r="G12" s="92"/>
      <c r="H12" s="92" t="e">
        <f>IF(H55-H6+G12-G13&gt;0,H55-H6+G12-G13,0)</f>
        <v>#REF!</v>
      </c>
      <c r="I12" s="93"/>
      <c r="J12" s="94"/>
      <c r="K12" s="360">
        <f>IF(K6-K55&lt;0,K6-K55,0)</f>
        <v>-276</v>
      </c>
      <c r="L12" s="96">
        <f>IF(L6+K13+K12-L55&lt;0,L6+K13+K12-L55,0)</f>
        <v>-1077</v>
      </c>
      <c r="M12" s="96">
        <f>IF(M6+L13+L12-M55&lt;0,M6+L13+L12-M55,0)</f>
        <v>-2096</v>
      </c>
      <c r="N12" s="361">
        <f>IF(N6+M13+M12-N55&lt;0,N6+M13+M12-N55,0)</f>
        <v>-4343</v>
      </c>
      <c r="O12" s="362">
        <f>N12</f>
        <v>-4343</v>
      </c>
      <c r="P12" s="360">
        <f>IF(P6-P55&lt;0,P6-P55,0)</f>
        <v>-550</v>
      </c>
      <c r="Q12" s="96">
        <f>IF(Q6+P13+P12-Q55&lt;0,Q6+P13+P12-Q55,0)</f>
        <v>-2160</v>
      </c>
      <c r="R12" s="96">
        <f>IF(R6+Q13+Q12-R55&lt;0,R6+Q13+Q12-R55,0)</f>
        <v>-4180</v>
      </c>
      <c r="S12" s="361">
        <f>IF(S6+R13+R12-S55&lt;0,S6+R13+R12-S55,0)</f>
        <v>-6455</v>
      </c>
      <c r="T12" s="99">
        <f>S12</f>
        <v>-6455</v>
      </c>
      <c r="U12" s="363" t="s">
        <v>27</v>
      </c>
      <c r="V12" s="99">
        <f>IF(V6-V55&lt;0,V6-V55,0)</f>
        <v>-3710</v>
      </c>
      <c r="W12" s="363">
        <f>IF(W6-W55&lt;0,W6-W55,0)</f>
        <v>-3720</v>
      </c>
    </row>
    <row r="13" spans="1:23" ht="12.75" customHeight="1" hidden="1" thickBot="1">
      <c r="A13" s="364" t="s">
        <v>28</v>
      </c>
      <c r="B13" s="365" t="s">
        <v>29</v>
      </c>
      <c r="C13" s="366"/>
      <c r="D13" s="103"/>
      <c r="E13" s="104" t="e">
        <f>IF(E6-E55&gt;0,E6-E55,0)</f>
        <v>#REF!</v>
      </c>
      <c r="F13" s="104" t="e">
        <f>IF(F6-F55-E12+E13&gt;0,F6-F55-E12+E13,0)</f>
        <v>#REF!</v>
      </c>
      <c r="G13" s="104" t="e">
        <f>IF(G6-G55-F12+F13&gt;0,G6-G55-F12+F13,0)</f>
        <v>#REF!</v>
      </c>
      <c r="H13" s="104" t="e">
        <f>IF(H6-H55-G12+G13&gt;0,H6-H55-G12+G13,0)</f>
        <v>#REF!</v>
      </c>
      <c r="I13" s="105" t="e">
        <f>H13</f>
        <v>#REF!</v>
      </c>
      <c r="J13" s="106"/>
      <c r="K13" s="367">
        <f>IF(K6-K55&gt;0,K6-K55,0)</f>
        <v>0</v>
      </c>
      <c r="L13" s="108">
        <f>IF(L6-L55+K12+K13&gt;0,L6-L55+K12+K13,0)</f>
        <v>0</v>
      </c>
      <c r="M13" s="108">
        <f>IF(M6-M55+L12+L13&gt;0,M6-M55+L12+L13,0)</f>
        <v>0</v>
      </c>
      <c r="N13" s="368">
        <f>IF(N6-N55+M12+M13&gt;0,N6-N55+M12+M13,0)</f>
        <v>0</v>
      </c>
      <c r="O13" s="369">
        <f>N13</f>
        <v>0</v>
      </c>
      <c r="P13" s="367">
        <f>IF(P6-P55&gt;0,P6-P55,0)</f>
        <v>0</v>
      </c>
      <c r="Q13" s="108">
        <f>IF(Q6-Q55+P12+P13&gt;0,Q6-Q55+P12+P13,0)</f>
        <v>0</v>
      </c>
      <c r="R13" s="108">
        <f>IF(R6-R55+Q12+Q13&gt;0,R6-R55+Q12+Q13,0)</f>
        <v>0</v>
      </c>
      <c r="S13" s="368">
        <f>IF(S6-S55+R12+R13&gt;0,S6-S55+R12+R13,0)</f>
        <v>0</v>
      </c>
      <c r="T13" s="111">
        <f>S13</f>
        <v>0</v>
      </c>
      <c r="U13" s="370">
        <f>IF(U6-U55&gt;0,U6-U55,0)</f>
        <v>0</v>
      </c>
      <c r="V13" s="111">
        <f>IF(V6-V55&gt;0,V6-V55,0)</f>
        <v>0</v>
      </c>
      <c r="W13" s="370">
        <f>IF(W6-W55&gt;0,W6-W55,0)</f>
        <v>0</v>
      </c>
    </row>
    <row r="14" spans="1:25" s="150" customFormat="1" ht="18" customHeight="1">
      <c r="A14" s="325" t="s">
        <v>13</v>
      </c>
      <c r="B14" s="165" t="s">
        <v>391</v>
      </c>
      <c r="C14" s="138"/>
      <c r="D14" s="139"/>
      <c r="E14" s="140"/>
      <c r="F14" s="141"/>
      <c r="G14" s="141"/>
      <c r="H14" s="141"/>
      <c r="I14" s="143"/>
      <c r="J14" s="144">
        <f aca="true" t="shared" si="1" ref="J14:W14">J15+J32</f>
        <v>172.8</v>
      </c>
      <c r="K14" s="145">
        <f t="shared" si="1"/>
        <v>276</v>
      </c>
      <c r="L14" s="145">
        <f t="shared" si="1"/>
        <v>801</v>
      </c>
      <c r="M14" s="166">
        <f t="shared" si="1"/>
        <v>1019</v>
      </c>
      <c r="N14" s="166">
        <f t="shared" si="1"/>
        <v>2247</v>
      </c>
      <c r="O14" s="166">
        <f t="shared" si="1"/>
        <v>4343</v>
      </c>
      <c r="P14" s="166">
        <f t="shared" si="1"/>
        <v>550</v>
      </c>
      <c r="Q14" s="166">
        <f t="shared" si="1"/>
        <v>1610</v>
      </c>
      <c r="R14" s="166">
        <f t="shared" si="1"/>
        <v>2020</v>
      </c>
      <c r="S14" s="166">
        <f t="shared" si="1"/>
        <v>2275</v>
      </c>
      <c r="T14" s="166">
        <f t="shared" si="1"/>
        <v>6455</v>
      </c>
      <c r="U14" s="166">
        <f t="shared" si="1"/>
        <v>4870</v>
      </c>
      <c r="V14" s="167">
        <f t="shared" si="1"/>
        <v>3710</v>
      </c>
      <c r="W14" s="287">
        <f t="shared" si="1"/>
        <v>3720</v>
      </c>
      <c r="X14" s="168">
        <f>SUM(O14+T14+U14+V14+W14)</f>
        <v>23098</v>
      </c>
      <c r="Y14" s="168">
        <f>SUM(X15+X32)</f>
        <v>23098</v>
      </c>
    </row>
    <row r="15" spans="1:25" s="150" customFormat="1" ht="18" customHeight="1">
      <c r="A15" s="325" t="s">
        <v>171</v>
      </c>
      <c r="B15" s="165" t="s">
        <v>392</v>
      </c>
      <c r="C15" s="138"/>
      <c r="D15" s="139"/>
      <c r="E15" s="140"/>
      <c r="F15" s="141"/>
      <c r="G15" s="141"/>
      <c r="H15" s="141"/>
      <c r="I15" s="143"/>
      <c r="J15" s="227">
        <f aca="true" t="shared" si="2" ref="J15:W15">J21+J28+J16</f>
        <v>172.8</v>
      </c>
      <c r="K15" s="226">
        <f t="shared" si="2"/>
        <v>276</v>
      </c>
      <c r="L15" s="143">
        <f t="shared" si="2"/>
        <v>748</v>
      </c>
      <c r="M15" s="167">
        <f t="shared" si="2"/>
        <v>626</v>
      </c>
      <c r="N15" s="167">
        <f t="shared" si="2"/>
        <v>2014</v>
      </c>
      <c r="O15" s="167">
        <f t="shared" si="2"/>
        <v>3664</v>
      </c>
      <c r="P15" s="167">
        <f t="shared" si="2"/>
        <v>535</v>
      </c>
      <c r="Q15" s="167">
        <f t="shared" si="2"/>
        <v>1315</v>
      </c>
      <c r="R15" s="167">
        <f t="shared" si="2"/>
        <v>1565</v>
      </c>
      <c r="S15" s="167">
        <f t="shared" si="2"/>
        <v>1510</v>
      </c>
      <c r="T15" s="167">
        <f t="shared" si="2"/>
        <v>4925</v>
      </c>
      <c r="U15" s="167">
        <f t="shared" si="2"/>
        <v>3260</v>
      </c>
      <c r="V15" s="167">
        <f t="shared" si="2"/>
        <v>2730</v>
      </c>
      <c r="W15" s="287">
        <f t="shared" si="2"/>
        <v>2370</v>
      </c>
      <c r="X15" s="168">
        <f>SUM(O15+T15+U15+V15+W15)</f>
        <v>16949</v>
      </c>
      <c r="Y15" s="169">
        <f>SUM(X16+X21+X28)</f>
        <v>16949</v>
      </c>
    </row>
    <row r="16" spans="1:25" s="150" customFormat="1" ht="18" customHeight="1">
      <c r="A16" s="325"/>
      <c r="B16" s="681" t="s">
        <v>43</v>
      </c>
      <c r="C16" s="138"/>
      <c r="D16" s="139"/>
      <c r="E16" s="140"/>
      <c r="F16" s="141"/>
      <c r="G16" s="141"/>
      <c r="H16" s="141"/>
      <c r="I16" s="143"/>
      <c r="J16" s="227">
        <f>SUM(J17:J20)</f>
        <v>168.8</v>
      </c>
      <c r="K16" s="226">
        <f aca="true" t="shared" si="3" ref="K16:W16">SUM(K17:K20)</f>
        <v>258</v>
      </c>
      <c r="L16" s="143">
        <f t="shared" si="3"/>
        <v>467</v>
      </c>
      <c r="M16" s="167">
        <f t="shared" si="3"/>
        <v>550</v>
      </c>
      <c r="N16" s="167">
        <f t="shared" si="3"/>
        <v>1800</v>
      </c>
      <c r="O16" s="167">
        <f t="shared" si="3"/>
        <v>3075</v>
      </c>
      <c r="P16" s="167">
        <f t="shared" si="3"/>
        <v>420</v>
      </c>
      <c r="Q16" s="167">
        <f t="shared" si="3"/>
        <v>970</v>
      </c>
      <c r="R16" s="167">
        <f t="shared" si="3"/>
        <v>1130</v>
      </c>
      <c r="S16" s="167">
        <f t="shared" si="3"/>
        <v>950</v>
      </c>
      <c r="T16" s="167">
        <f t="shared" si="3"/>
        <v>3470</v>
      </c>
      <c r="U16" s="167">
        <f t="shared" si="3"/>
        <v>1700</v>
      </c>
      <c r="V16" s="167">
        <f t="shared" si="3"/>
        <v>1200</v>
      </c>
      <c r="W16" s="287">
        <f t="shared" si="3"/>
        <v>1000</v>
      </c>
      <c r="X16" s="168">
        <f>SUM(O16+T16+U16+V16+W16)</f>
        <v>10445</v>
      </c>
      <c r="Y16" s="169"/>
    </row>
    <row r="17" spans="1:25" s="150" customFormat="1" ht="18" customHeight="1">
      <c r="A17" s="325"/>
      <c r="B17" s="683" t="s">
        <v>254</v>
      </c>
      <c r="C17" s="138"/>
      <c r="D17" s="139"/>
      <c r="E17" s="140"/>
      <c r="F17" s="141"/>
      <c r="G17" s="141"/>
      <c r="H17" s="141"/>
      <c r="I17" s="143"/>
      <c r="J17" s="227">
        <f>J58+J59+J60+J65+J61+J62+J63+J64+J77</f>
        <v>24.8</v>
      </c>
      <c r="K17" s="226">
        <f>K58+K59+K60+K65+K61+K62+K63+K64+K77+K79+K80+K81</f>
        <v>258</v>
      </c>
      <c r="L17" s="143">
        <f>L58+L59+L60+L65+L61+L62+L63+L64+L77+L79+L80+L81</f>
        <v>367</v>
      </c>
      <c r="M17" s="167">
        <f>M58+M59+M60+M65+M61+M62+M63+M64+M77+M79+M80+M81</f>
        <v>450</v>
      </c>
      <c r="N17" s="167">
        <f>N58+N59+N60+N65+N61+N62+N63+N64+N77+N79+N80+N81</f>
        <v>1611</v>
      </c>
      <c r="O17" s="167">
        <f>SUM(K17:N17)</f>
        <v>2686</v>
      </c>
      <c r="P17" s="167">
        <f aca="true" t="shared" si="4" ref="P17:W17">P58+P59+P60+P65+P61+P62+P63+P64+P77</f>
        <v>420</v>
      </c>
      <c r="Q17" s="167">
        <f t="shared" si="4"/>
        <v>970</v>
      </c>
      <c r="R17" s="167">
        <f t="shared" si="4"/>
        <v>1130</v>
      </c>
      <c r="S17" s="167">
        <f t="shared" si="4"/>
        <v>950</v>
      </c>
      <c r="T17" s="167">
        <f t="shared" si="4"/>
        <v>3470</v>
      </c>
      <c r="U17" s="167">
        <f t="shared" si="4"/>
        <v>1700</v>
      </c>
      <c r="V17" s="167">
        <f t="shared" si="4"/>
        <v>1200</v>
      </c>
      <c r="W17" s="287">
        <f t="shared" si="4"/>
        <v>1000</v>
      </c>
      <c r="X17" s="168"/>
      <c r="Y17" s="169"/>
    </row>
    <row r="18" spans="1:25" s="150" customFormat="1" ht="18" customHeight="1">
      <c r="A18" s="325"/>
      <c r="B18" s="683" t="s">
        <v>394</v>
      </c>
      <c r="C18" s="138"/>
      <c r="D18" s="139"/>
      <c r="E18" s="140"/>
      <c r="F18" s="141"/>
      <c r="G18" s="141"/>
      <c r="H18" s="141"/>
      <c r="I18" s="143"/>
      <c r="J18" s="227">
        <f>SUM(J75+J76)</f>
        <v>144</v>
      </c>
      <c r="K18" s="226">
        <f aca="true" t="shared" si="5" ref="K18:W18">SUM(K75+K76)</f>
        <v>0</v>
      </c>
      <c r="L18" s="143">
        <f t="shared" si="5"/>
        <v>100</v>
      </c>
      <c r="M18" s="167">
        <f t="shared" si="5"/>
        <v>100</v>
      </c>
      <c r="N18" s="167">
        <f t="shared" si="5"/>
        <v>189</v>
      </c>
      <c r="O18" s="167">
        <f t="shared" si="5"/>
        <v>389</v>
      </c>
      <c r="P18" s="167">
        <f t="shared" si="5"/>
        <v>0</v>
      </c>
      <c r="Q18" s="167">
        <f t="shared" si="5"/>
        <v>0</v>
      </c>
      <c r="R18" s="167">
        <f t="shared" si="5"/>
        <v>0</v>
      </c>
      <c r="S18" s="167">
        <f t="shared" si="5"/>
        <v>0</v>
      </c>
      <c r="T18" s="167">
        <f t="shared" si="5"/>
        <v>0</v>
      </c>
      <c r="U18" s="167">
        <f t="shared" si="5"/>
        <v>0</v>
      </c>
      <c r="V18" s="167">
        <f t="shared" si="5"/>
        <v>0</v>
      </c>
      <c r="W18" s="287">
        <f t="shared" si="5"/>
        <v>0</v>
      </c>
      <c r="X18" s="168"/>
      <c r="Y18" s="169"/>
    </row>
    <row r="19" spans="1:25" s="150" customFormat="1" ht="18" customHeight="1">
      <c r="A19" s="325"/>
      <c r="B19" s="680"/>
      <c r="C19" s="138"/>
      <c r="D19" s="139"/>
      <c r="E19" s="140"/>
      <c r="F19" s="141"/>
      <c r="G19" s="141"/>
      <c r="H19" s="141"/>
      <c r="I19" s="143"/>
      <c r="J19" s="227"/>
      <c r="K19" s="226"/>
      <c r="L19" s="143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287"/>
      <c r="X19" s="168"/>
      <c r="Y19" s="169"/>
    </row>
    <row r="20" spans="1:25" s="150" customFormat="1" ht="18" customHeight="1">
      <c r="A20" s="325"/>
      <c r="B20" s="680"/>
      <c r="C20" s="138"/>
      <c r="D20" s="139"/>
      <c r="E20" s="140"/>
      <c r="F20" s="141"/>
      <c r="G20" s="141"/>
      <c r="H20" s="141"/>
      <c r="I20" s="143"/>
      <c r="J20" s="227"/>
      <c r="K20" s="226"/>
      <c r="L20" s="143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287"/>
      <c r="X20" s="168"/>
      <c r="Y20" s="169"/>
    </row>
    <row r="21" spans="1:25" s="150" customFormat="1" ht="18" customHeight="1">
      <c r="A21" s="325"/>
      <c r="B21" s="335" t="s">
        <v>46</v>
      </c>
      <c r="C21" s="138"/>
      <c r="D21" s="139"/>
      <c r="E21" s="140"/>
      <c r="F21" s="141"/>
      <c r="G21" s="141"/>
      <c r="H21" s="141"/>
      <c r="I21" s="143"/>
      <c r="J21" s="144">
        <f aca="true" t="shared" si="6" ref="J21:W21">SUM(J22:J27)</f>
        <v>4</v>
      </c>
      <c r="K21" s="143">
        <f t="shared" si="6"/>
        <v>16</v>
      </c>
      <c r="L21" s="143">
        <f t="shared" si="6"/>
        <v>64</v>
      </c>
      <c r="M21" s="167">
        <f t="shared" si="6"/>
        <v>76</v>
      </c>
      <c r="N21" s="167">
        <f t="shared" si="6"/>
        <v>170</v>
      </c>
      <c r="O21" s="167">
        <f t="shared" si="6"/>
        <v>326</v>
      </c>
      <c r="P21" s="167">
        <f t="shared" si="6"/>
        <v>115</v>
      </c>
      <c r="Q21" s="167">
        <f t="shared" si="6"/>
        <v>345</v>
      </c>
      <c r="R21" s="167">
        <f t="shared" si="6"/>
        <v>435</v>
      </c>
      <c r="S21" s="167">
        <f t="shared" si="6"/>
        <v>360</v>
      </c>
      <c r="T21" s="167">
        <f t="shared" si="6"/>
        <v>1255</v>
      </c>
      <c r="U21" s="167">
        <f t="shared" si="6"/>
        <v>1360</v>
      </c>
      <c r="V21" s="167">
        <f t="shared" si="6"/>
        <v>1280</v>
      </c>
      <c r="W21" s="287">
        <f t="shared" si="6"/>
        <v>1170</v>
      </c>
      <c r="X21" s="168">
        <f>SUM(O21+T21+U21+V21+W21)</f>
        <v>5391</v>
      </c>
      <c r="Y21" s="169"/>
    </row>
    <row r="22" spans="1:24" s="150" customFormat="1" ht="18" customHeight="1">
      <c r="A22" s="325"/>
      <c r="B22" s="327" t="s">
        <v>396</v>
      </c>
      <c r="C22" s="138"/>
      <c r="D22" s="139"/>
      <c r="E22" s="140"/>
      <c r="F22" s="141"/>
      <c r="G22" s="141"/>
      <c r="H22" s="141"/>
      <c r="I22" s="143"/>
      <c r="J22" s="144">
        <f>SUM(J95+J96)</f>
        <v>0</v>
      </c>
      <c r="K22" s="143">
        <f aca="true" t="shared" si="7" ref="K22:W22">SUM(K95+K96)</f>
        <v>0</v>
      </c>
      <c r="L22" s="143">
        <f t="shared" si="7"/>
        <v>0</v>
      </c>
      <c r="M22" s="167">
        <f t="shared" si="7"/>
        <v>0</v>
      </c>
      <c r="N22" s="167">
        <f t="shared" si="7"/>
        <v>0</v>
      </c>
      <c r="O22" s="167">
        <f t="shared" si="7"/>
        <v>0</v>
      </c>
      <c r="P22" s="167">
        <f t="shared" si="7"/>
        <v>0</v>
      </c>
      <c r="Q22" s="167">
        <f t="shared" si="7"/>
        <v>100</v>
      </c>
      <c r="R22" s="167">
        <f t="shared" si="7"/>
        <v>100</v>
      </c>
      <c r="S22" s="167">
        <f t="shared" si="7"/>
        <v>100</v>
      </c>
      <c r="T22" s="167">
        <f t="shared" si="7"/>
        <v>300</v>
      </c>
      <c r="U22" s="167">
        <f t="shared" si="7"/>
        <v>810</v>
      </c>
      <c r="V22" s="167">
        <f t="shared" si="7"/>
        <v>500</v>
      </c>
      <c r="W22" s="287">
        <f t="shared" si="7"/>
        <v>400</v>
      </c>
      <c r="X22" s="168"/>
    </row>
    <row r="23" spans="1:24" s="150" customFormat="1" ht="18" customHeight="1">
      <c r="A23" s="325"/>
      <c r="B23" s="327" t="s">
        <v>397</v>
      </c>
      <c r="C23" s="138"/>
      <c r="D23" s="139"/>
      <c r="E23" s="140"/>
      <c r="F23" s="141"/>
      <c r="G23" s="141"/>
      <c r="H23" s="141"/>
      <c r="I23" s="143"/>
      <c r="J23" s="144">
        <f>SUM(J98+J100+J101)</f>
        <v>4</v>
      </c>
      <c r="K23" s="143">
        <f aca="true" t="shared" si="8" ref="K23:W23">SUM(K98+K100+K101)</f>
        <v>0</v>
      </c>
      <c r="L23" s="143">
        <f t="shared" si="8"/>
        <v>4</v>
      </c>
      <c r="M23" s="167">
        <f t="shared" si="8"/>
        <v>30</v>
      </c>
      <c r="N23" s="167">
        <f t="shared" si="8"/>
        <v>142</v>
      </c>
      <c r="O23" s="167">
        <f t="shared" si="8"/>
        <v>176</v>
      </c>
      <c r="P23" s="167">
        <f t="shared" si="8"/>
        <v>100</v>
      </c>
      <c r="Q23" s="167">
        <f t="shared" si="8"/>
        <v>200</v>
      </c>
      <c r="R23" s="167">
        <f t="shared" si="8"/>
        <v>300</v>
      </c>
      <c r="S23" s="167">
        <f t="shared" si="8"/>
        <v>230</v>
      </c>
      <c r="T23" s="167">
        <f t="shared" si="8"/>
        <v>830</v>
      </c>
      <c r="U23" s="167">
        <f t="shared" si="8"/>
        <v>380</v>
      </c>
      <c r="V23" s="167">
        <f t="shared" si="8"/>
        <v>610</v>
      </c>
      <c r="W23" s="287">
        <f t="shared" si="8"/>
        <v>600</v>
      </c>
      <c r="X23" s="168"/>
    </row>
    <row r="24" spans="1:24" s="150" customFormat="1" ht="27" customHeight="1">
      <c r="A24" s="325"/>
      <c r="B24" s="327" t="s">
        <v>217</v>
      </c>
      <c r="C24" s="138"/>
      <c r="D24" s="139"/>
      <c r="E24" s="140"/>
      <c r="F24" s="141"/>
      <c r="G24" s="141"/>
      <c r="H24" s="141"/>
      <c r="I24" s="143"/>
      <c r="J24" s="144">
        <f>SUM(J93)</f>
        <v>0</v>
      </c>
      <c r="K24" s="143">
        <f aca="true" t="shared" si="9" ref="K24:W24">SUM(K93)</f>
        <v>15</v>
      </c>
      <c r="L24" s="143">
        <f t="shared" si="9"/>
        <v>35</v>
      </c>
      <c r="M24" s="167">
        <f t="shared" si="9"/>
        <v>35</v>
      </c>
      <c r="N24" s="167">
        <f t="shared" si="9"/>
        <v>15</v>
      </c>
      <c r="O24" s="167">
        <f t="shared" si="9"/>
        <v>100</v>
      </c>
      <c r="P24" s="167">
        <f t="shared" si="9"/>
        <v>15</v>
      </c>
      <c r="Q24" s="167">
        <f t="shared" si="9"/>
        <v>35</v>
      </c>
      <c r="R24" s="167">
        <f t="shared" si="9"/>
        <v>35</v>
      </c>
      <c r="S24" s="167">
        <f t="shared" si="9"/>
        <v>15</v>
      </c>
      <c r="T24" s="167">
        <f t="shared" si="9"/>
        <v>100</v>
      </c>
      <c r="U24" s="167">
        <f t="shared" si="9"/>
        <v>150</v>
      </c>
      <c r="V24" s="167">
        <f t="shared" si="9"/>
        <v>150</v>
      </c>
      <c r="W24" s="287">
        <f t="shared" si="9"/>
        <v>150</v>
      </c>
      <c r="X24" s="168"/>
    </row>
    <row r="25" spans="1:24" s="150" customFormat="1" ht="26.25" customHeight="1">
      <c r="A25" s="325"/>
      <c r="B25" s="327" t="s">
        <v>398</v>
      </c>
      <c r="C25" s="138"/>
      <c r="D25" s="139"/>
      <c r="E25" s="140"/>
      <c r="F25" s="141"/>
      <c r="G25" s="141"/>
      <c r="H25" s="141"/>
      <c r="I25" s="143"/>
      <c r="J25" s="144">
        <f>SUM(J94)</f>
        <v>0</v>
      </c>
      <c r="K25" s="143">
        <f aca="true" t="shared" si="10" ref="K25:W25">SUM(K94)</f>
        <v>0</v>
      </c>
      <c r="L25" s="143">
        <f t="shared" si="10"/>
        <v>14</v>
      </c>
      <c r="M25" s="167">
        <f t="shared" si="10"/>
        <v>6</v>
      </c>
      <c r="N25" s="167">
        <f t="shared" si="10"/>
        <v>10</v>
      </c>
      <c r="O25" s="167">
        <f t="shared" si="10"/>
        <v>30</v>
      </c>
      <c r="P25" s="167">
        <f t="shared" si="10"/>
        <v>0</v>
      </c>
      <c r="Q25" s="167">
        <f t="shared" si="10"/>
        <v>10</v>
      </c>
      <c r="R25" s="167">
        <f t="shared" si="10"/>
        <v>0</v>
      </c>
      <c r="S25" s="167">
        <f t="shared" si="10"/>
        <v>0</v>
      </c>
      <c r="T25" s="167">
        <f t="shared" si="10"/>
        <v>10</v>
      </c>
      <c r="U25" s="167">
        <f t="shared" si="10"/>
        <v>10</v>
      </c>
      <c r="V25" s="167">
        <f t="shared" si="10"/>
        <v>10</v>
      </c>
      <c r="W25" s="287">
        <f t="shared" si="10"/>
        <v>10</v>
      </c>
      <c r="X25" s="168"/>
    </row>
    <row r="26" spans="1:24" s="150" customFormat="1" ht="29.25" customHeight="1">
      <c r="A26" s="325"/>
      <c r="B26" s="327" t="s">
        <v>399</v>
      </c>
      <c r="C26" s="138"/>
      <c r="D26" s="139"/>
      <c r="E26" s="140"/>
      <c r="F26" s="141"/>
      <c r="G26" s="141"/>
      <c r="H26" s="141"/>
      <c r="I26" s="143"/>
      <c r="J26" s="144">
        <f>SUM(J99)</f>
        <v>0</v>
      </c>
      <c r="K26" s="143">
        <f aca="true" t="shared" si="11" ref="K26:W26">SUM(K99)</f>
        <v>1</v>
      </c>
      <c r="L26" s="143">
        <f t="shared" si="11"/>
        <v>11</v>
      </c>
      <c r="M26" s="167">
        <f t="shared" si="11"/>
        <v>5</v>
      </c>
      <c r="N26" s="167">
        <f t="shared" si="11"/>
        <v>3</v>
      </c>
      <c r="O26" s="167">
        <f t="shared" si="11"/>
        <v>20</v>
      </c>
      <c r="P26" s="167">
        <f t="shared" si="11"/>
        <v>0</v>
      </c>
      <c r="Q26" s="167">
        <f t="shared" si="11"/>
        <v>0</v>
      </c>
      <c r="R26" s="167">
        <f t="shared" si="11"/>
        <v>0</v>
      </c>
      <c r="S26" s="167">
        <f t="shared" si="11"/>
        <v>15</v>
      </c>
      <c r="T26" s="167">
        <f t="shared" si="11"/>
        <v>15</v>
      </c>
      <c r="U26" s="167">
        <f t="shared" si="11"/>
        <v>10</v>
      </c>
      <c r="V26" s="167">
        <f t="shared" si="11"/>
        <v>10</v>
      </c>
      <c r="W26" s="287">
        <f t="shared" si="11"/>
        <v>10</v>
      </c>
      <c r="X26" s="168"/>
    </row>
    <row r="27" spans="1:24" s="150" customFormat="1" ht="18" customHeight="1">
      <c r="A27" s="325"/>
      <c r="B27" s="327"/>
      <c r="C27" s="138"/>
      <c r="D27" s="139"/>
      <c r="E27" s="140"/>
      <c r="F27" s="141"/>
      <c r="G27" s="141"/>
      <c r="H27" s="141"/>
      <c r="I27" s="143"/>
      <c r="J27" s="144"/>
      <c r="K27" s="143"/>
      <c r="L27" s="143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287"/>
      <c r="X27" s="168"/>
    </row>
    <row r="28" spans="1:24" s="150" customFormat="1" ht="18" customHeight="1">
      <c r="A28" s="325"/>
      <c r="B28" s="335" t="s">
        <v>44</v>
      </c>
      <c r="C28" s="138"/>
      <c r="D28" s="139"/>
      <c r="E28" s="140"/>
      <c r="F28" s="141"/>
      <c r="G28" s="141"/>
      <c r="H28" s="141"/>
      <c r="I28" s="143"/>
      <c r="J28" s="144">
        <f>SUM(J29:J31)</f>
        <v>0</v>
      </c>
      <c r="K28" s="143">
        <f aca="true" t="shared" si="12" ref="K28:W28">SUM(K29:K31)</f>
        <v>2</v>
      </c>
      <c r="L28" s="143">
        <f t="shared" si="12"/>
        <v>217</v>
      </c>
      <c r="M28" s="167">
        <f t="shared" si="12"/>
        <v>0</v>
      </c>
      <c r="N28" s="167">
        <f t="shared" si="12"/>
        <v>44</v>
      </c>
      <c r="O28" s="167">
        <f t="shared" si="12"/>
        <v>263</v>
      </c>
      <c r="P28" s="167">
        <f t="shared" si="12"/>
        <v>0</v>
      </c>
      <c r="Q28" s="167">
        <f t="shared" si="12"/>
        <v>0</v>
      </c>
      <c r="R28" s="167">
        <f t="shared" si="12"/>
        <v>0</v>
      </c>
      <c r="S28" s="167">
        <f t="shared" si="12"/>
        <v>200</v>
      </c>
      <c r="T28" s="167">
        <f t="shared" si="12"/>
        <v>200</v>
      </c>
      <c r="U28" s="167">
        <f t="shared" si="12"/>
        <v>200</v>
      </c>
      <c r="V28" s="167">
        <f t="shared" si="12"/>
        <v>250</v>
      </c>
      <c r="W28" s="287">
        <f t="shared" si="12"/>
        <v>200</v>
      </c>
      <c r="X28" s="168">
        <f>SUM(O28+T28+U28+V28+W28)</f>
        <v>1113</v>
      </c>
    </row>
    <row r="29" spans="1:24" s="150" customFormat="1" ht="27.75" customHeight="1">
      <c r="A29" s="325"/>
      <c r="B29" s="327" t="s">
        <v>407</v>
      </c>
      <c r="C29" s="138"/>
      <c r="D29" s="139"/>
      <c r="E29" s="140"/>
      <c r="F29" s="141"/>
      <c r="G29" s="141"/>
      <c r="H29" s="141"/>
      <c r="I29" s="143"/>
      <c r="J29" s="144">
        <f>J87</f>
        <v>0</v>
      </c>
      <c r="K29" s="143">
        <f aca="true" t="shared" si="13" ref="K29:W29">K87</f>
        <v>0</v>
      </c>
      <c r="L29" s="143">
        <f t="shared" si="13"/>
        <v>212</v>
      </c>
      <c r="M29" s="167">
        <f t="shared" si="13"/>
        <v>0</v>
      </c>
      <c r="N29" s="167">
        <f t="shared" si="13"/>
        <v>44</v>
      </c>
      <c r="O29" s="167">
        <f t="shared" si="13"/>
        <v>256</v>
      </c>
      <c r="P29" s="167">
        <f t="shared" si="13"/>
        <v>0</v>
      </c>
      <c r="Q29" s="167">
        <f t="shared" si="13"/>
        <v>0</v>
      </c>
      <c r="R29" s="167">
        <f t="shared" si="13"/>
        <v>0</v>
      </c>
      <c r="S29" s="167">
        <f t="shared" si="13"/>
        <v>200</v>
      </c>
      <c r="T29" s="167">
        <f t="shared" si="13"/>
        <v>200</v>
      </c>
      <c r="U29" s="167">
        <f t="shared" si="13"/>
        <v>200</v>
      </c>
      <c r="V29" s="167">
        <f t="shared" si="13"/>
        <v>200</v>
      </c>
      <c r="W29" s="287">
        <f t="shared" si="13"/>
        <v>200</v>
      </c>
      <c r="X29" s="168"/>
    </row>
    <row r="30" spans="1:24" s="150" customFormat="1" ht="18" customHeight="1">
      <c r="A30" s="325"/>
      <c r="B30" s="327" t="s">
        <v>395</v>
      </c>
      <c r="C30" s="138"/>
      <c r="D30" s="139"/>
      <c r="E30" s="140"/>
      <c r="F30" s="141"/>
      <c r="G30" s="141"/>
      <c r="H30" s="141"/>
      <c r="I30" s="143"/>
      <c r="J30" s="144">
        <f>SUM(J88+J89)</f>
        <v>0</v>
      </c>
      <c r="K30" s="143">
        <f aca="true" t="shared" si="14" ref="K30:W30">SUM(K88+K89)</f>
        <v>2</v>
      </c>
      <c r="L30" s="143">
        <f t="shared" si="14"/>
        <v>5</v>
      </c>
      <c r="M30" s="167">
        <f t="shared" si="14"/>
        <v>0</v>
      </c>
      <c r="N30" s="167">
        <f t="shared" si="14"/>
        <v>0</v>
      </c>
      <c r="O30" s="167">
        <f t="shared" si="14"/>
        <v>7</v>
      </c>
      <c r="P30" s="167">
        <f t="shared" si="14"/>
        <v>0</v>
      </c>
      <c r="Q30" s="167">
        <f t="shared" si="14"/>
        <v>0</v>
      </c>
      <c r="R30" s="167">
        <f t="shared" si="14"/>
        <v>0</v>
      </c>
      <c r="S30" s="167">
        <f t="shared" si="14"/>
        <v>0</v>
      </c>
      <c r="T30" s="167">
        <f t="shared" si="14"/>
        <v>0</v>
      </c>
      <c r="U30" s="167">
        <f t="shared" si="14"/>
        <v>0</v>
      </c>
      <c r="V30" s="167">
        <f t="shared" si="14"/>
        <v>50</v>
      </c>
      <c r="W30" s="287">
        <f t="shared" si="14"/>
        <v>0</v>
      </c>
      <c r="X30" s="168"/>
    </row>
    <row r="31" spans="1:25" s="150" customFormat="1" ht="18" customHeight="1">
      <c r="A31" s="325"/>
      <c r="B31" s="165"/>
      <c r="C31" s="138"/>
      <c r="D31" s="139"/>
      <c r="E31" s="140"/>
      <c r="F31" s="141"/>
      <c r="G31" s="141"/>
      <c r="H31" s="141"/>
      <c r="I31" s="143"/>
      <c r="J31" s="144"/>
      <c r="K31" s="143"/>
      <c r="L31" s="143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287"/>
      <c r="X31" s="168"/>
      <c r="Y31" s="169"/>
    </row>
    <row r="32" spans="1:26" s="150" customFormat="1" ht="18" customHeight="1">
      <c r="A32" s="325" t="s">
        <v>172</v>
      </c>
      <c r="B32" s="165" t="s">
        <v>393</v>
      </c>
      <c r="C32" s="138"/>
      <c r="D32" s="139"/>
      <c r="E32" s="140"/>
      <c r="F32" s="141"/>
      <c r="G32" s="141"/>
      <c r="H32" s="141"/>
      <c r="I32" s="143"/>
      <c r="J32" s="144">
        <f>SUM(J42+J50+J34)</f>
        <v>0</v>
      </c>
      <c r="K32" s="143">
        <f>SUM(K42+K50+K33)</f>
        <v>0</v>
      </c>
      <c r="L32" s="143">
        <f>SUM(L42+L50+L33)</f>
        <v>53</v>
      </c>
      <c r="M32" s="167">
        <f>SUM(M42+M50+M33)</f>
        <v>393</v>
      </c>
      <c r="N32" s="167">
        <f>SUM(N42+N50+N33)</f>
        <v>233</v>
      </c>
      <c r="O32" s="167">
        <f>SUM(K32:N32)</f>
        <v>679</v>
      </c>
      <c r="P32" s="167">
        <f aca="true" t="shared" si="15" ref="P32:W32">SUM(P42+P50+P33)</f>
        <v>15</v>
      </c>
      <c r="Q32" s="167">
        <f t="shared" si="15"/>
        <v>295</v>
      </c>
      <c r="R32" s="167">
        <f t="shared" si="15"/>
        <v>455</v>
      </c>
      <c r="S32" s="167">
        <f t="shared" si="15"/>
        <v>765</v>
      </c>
      <c r="T32" s="167">
        <f t="shared" si="15"/>
        <v>1530</v>
      </c>
      <c r="U32" s="167">
        <f t="shared" si="15"/>
        <v>1610</v>
      </c>
      <c r="V32" s="167">
        <f t="shared" si="15"/>
        <v>980</v>
      </c>
      <c r="W32" s="287">
        <f t="shared" si="15"/>
        <v>1350</v>
      </c>
      <c r="X32" s="168">
        <f>O32+T32+U32+V32+W32</f>
        <v>6149</v>
      </c>
      <c r="Y32" s="168">
        <f>SUM(X33+X42)</f>
        <v>6149</v>
      </c>
      <c r="Z32" s="168"/>
    </row>
    <row r="33" spans="1:26" s="150" customFormat="1" ht="18" customHeight="1">
      <c r="A33" s="325"/>
      <c r="B33" s="681" t="s">
        <v>43</v>
      </c>
      <c r="C33" s="138"/>
      <c r="D33" s="139"/>
      <c r="E33" s="140"/>
      <c r="F33" s="141"/>
      <c r="G33" s="141"/>
      <c r="H33" s="141"/>
      <c r="I33" s="143"/>
      <c r="J33" s="144">
        <f>SUM(J34:J41)</f>
        <v>0</v>
      </c>
      <c r="K33" s="143">
        <f aca="true" t="shared" si="16" ref="K33:W33">SUM(K34:K41)</f>
        <v>0</v>
      </c>
      <c r="L33" s="143">
        <f t="shared" si="16"/>
        <v>0</v>
      </c>
      <c r="M33" s="167">
        <f t="shared" si="16"/>
        <v>0</v>
      </c>
      <c r="N33" s="167">
        <f t="shared" si="16"/>
        <v>50</v>
      </c>
      <c r="O33" s="167">
        <f t="shared" si="16"/>
        <v>50</v>
      </c>
      <c r="P33" s="167">
        <f t="shared" si="16"/>
        <v>0</v>
      </c>
      <c r="Q33" s="167">
        <f t="shared" si="16"/>
        <v>160</v>
      </c>
      <c r="R33" s="167">
        <f t="shared" si="16"/>
        <v>150</v>
      </c>
      <c r="S33" s="167">
        <f t="shared" si="16"/>
        <v>640</v>
      </c>
      <c r="T33" s="167">
        <f t="shared" si="16"/>
        <v>950</v>
      </c>
      <c r="U33" s="167">
        <f t="shared" si="16"/>
        <v>950</v>
      </c>
      <c r="V33" s="167">
        <f t="shared" si="16"/>
        <v>350</v>
      </c>
      <c r="W33" s="287">
        <f t="shared" si="16"/>
        <v>250</v>
      </c>
      <c r="X33" s="168">
        <f>SUM(O33+T33+U33+V33+W33)</f>
        <v>2550</v>
      </c>
      <c r="Z33" s="168"/>
    </row>
    <row r="34" spans="1:26" s="150" customFormat="1" ht="31.5" customHeight="1">
      <c r="A34" s="325"/>
      <c r="B34" s="683" t="s">
        <v>210</v>
      </c>
      <c r="C34" s="138"/>
      <c r="D34" s="139"/>
      <c r="E34" s="140"/>
      <c r="F34" s="141"/>
      <c r="G34" s="141"/>
      <c r="H34" s="141"/>
      <c r="I34" s="143"/>
      <c r="J34" s="144">
        <f>SUM(J78)</f>
        <v>0</v>
      </c>
      <c r="K34" s="143">
        <f aca="true" t="shared" si="17" ref="K34:W34">SUM(K78)</f>
        <v>0</v>
      </c>
      <c r="L34" s="143">
        <f t="shared" si="17"/>
        <v>0</v>
      </c>
      <c r="M34" s="167">
        <f t="shared" si="17"/>
        <v>0</v>
      </c>
      <c r="N34" s="167">
        <f t="shared" si="17"/>
        <v>0</v>
      </c>
      <c r="O34" s="167">
        <f t="shared" si="17"/>
        <v>0</v>
      </c>
      <c r="P34" s="167">
        <f t="shared" si="17"/>
        <v>0</v>
      </c>
      <c r="Q34" s="167">
        <f t="shared" si="17"/>
        <v>0</v>
      </c>
      <c r="R34" s="167">
        <f t="shared" si="17"/>
        <v>0</v>
      </c>
      <c r="S34" s="167">
        <f t="shared" si="17"/>
        <v>500</v>
      </c>
      <c r="T34" s="167">
        <f t="shared" si="17"/>
        <v>500</v>
      </c>
      <c r="U34" s="167">
        <f t="shared" si="17"/>
        <v>800</v>
      </c>
      <c r="V34" s="167">
        <f t="shared" si="17"/>
        <v>200</v>
      </c>
      <c r="W34" s="287">
        <f t="shared" si="17"/>
        <v>0</v>
      </c>
      <c r="X34" s="168">
        <f>SUM(O34+T34+U34+V34+W34)</f>
        <v>1500</v>
      </c>
      <c r="Z34" s="168"/>
    </row>
    <row r="35" spans="1:24" s="150" customFormat="1" ht="18" customHeight="1">
      <c r="A35" s="325"/>
      <c r="B35" s="327" t="s">
        <v>401</v>
      </c>
      <c r="C35" s="138"/>
      <c r="D35" s="139"/>
      <c r="E35" s="140"/>
      <c r="F35" s="141"/>
      <c r="G35" s="141"/>
      <c r="H35" s="141"/>
      <c r="I35" s="143"/>
      <c r="J35" s="144">
        <f>SUM(J110+J111+J113)</f>
        <v>0</v>
      </c>
      <c r="K35" s="143">
        <f aca="true" t="shared" si="18" ref="K35:W35">SUM(K110+K111+K113)</f>
        <v>0</v>
      </c>
      <c r="L35" s="143">
        <f t="shared" si="18"/>
        <v>0</v>
      </c>
      <c r="M35" s="167">
        <f t="shared" si="18"/>
        <v>0</v>
      </c>
      <c r="N35" s="167">
        <f t="shared" si="18"/>
        <v>0</v>
      </c>
      <c r="O35" s="167">
        <f t="shared" si="18"/>
        <v>0</v>
      </c>
      <c r="P35" s="167">
        <f t="shared" si="18"/>
        <v>0</v>
      </c>
      <c r="Q35" s="167">
        <f t="shared" si="18"/>
        <v>110</v>
      </c>
      <c r="R35" s="167">
        <f t="shared" si="18"/>
        <v>150</v>
      </c>
      <c r="S35" s="167">
        <f t="shared" si="18"/>
        <v>140</v>
      </c>
      <c r="T35" s="167">
        <f t="shared" si="18"/>
        <v>400</v>
      </c>
      <c r="U35" s="167">
        <f t="shared" si="18"/>
        <v>100</v>
      </c>
      <c r="V35" s="167">
        <f t="shared" si="18"/>
        <v>100</v>
      </c>
      <c r="W35" s="287">
        <f t="shared" si="18"/>
        <v>200</v>
      </c>
      <c r="X35" s="168">
        <f>SUM(O35+T35+U35+V35+W35)</f>
        <v>800</v>
      </c>
    </row>
    <row r="36" spans="1:24" s="150" customFormat="1" ht="18" customHeight="1">
      <c r="A36" s="325"/>
      <c r="B36" s="327" t="s">
        <v>402</v>
      </c>
      <c r="C36" s="138"/>
      <c r="D36" s="139"/>
      <c r="E36" s="140"/>
      <c r="F36" s="141"/>
      <c r="G36" s="141"/>
      <c r="H36" s="141"/>
      <c r="I36" s="143"/>
      <c r="J36" s="144">
        <f>SUM(J121)</f>
        <v>0</v>
      </c>
      <c r="K36" s="143">
        <f aca="true" t="shared" si="19" ref="K36:W36">SUM(K121)</f>
        <v>0</v>
      </c>
      <c r="L36" s="143">
        <f t="shared" si="19"/>
        <v>0</v>
      </c>
      <c r="M36" s="167">
        <f t="shared" si="19"/>
        <v>0</v>
      </c>
      <c r="N36" s="167">
        <f t="shared" si="19"/>
        <v>50</v>
      </c>
      <c r="O36" s="167">
        <f t="shared" si="19"/>
        <v>50</v>
      </c>
      <c r="P36" s="167">
        <f t="shared" si="19"/>
        <v>0</v>
      </c>
      <c r="Q36" s="167">
        <f t="shared" si="19"/>
        <v>50</v>
      </c>
      <c r="R36" s="167">
        <f t="shared" si="19"/>
        <v>0</v>
      </c>
      <c r="S36" s="167">
        <f t="shared" si="19"/>
        <v>0</v>
      </c>
      <c r="T36" s="167">
        <f t="shared" si="19"/>
        <v>50</v>
      </c>
      <c r="U36" s="167">
        <f t="shared" si="19"/>
        <v>50</v>
      </c>
      <c r="V36" s="167">
        <f t="shared" si="19"/>
        <v>50</v>
      </c>
      <c r="W36" s="287">
        <f t="shared" si="19"/>
        <v>50</v>
      </c>
      <c r="X36" s="168">
        <f>SUM(O36+T36+U36+V36+W36)</f>
        <v>250</v>
      </c>
    </row>
    <row r="37" spans="1:24" s="150" customFormat="1" ht="18" customHeight="1">
      <c r="A37" s="325"/>
      <c r="B37" s="682"/>
      <c r="C37" s="138"/>
      <c r="D37" s="139"/>
      <c r="E37" s="140"/>
      <c r="F37" s="141"/>
      <c r="G37" s="141"/>
      <c r="H37" s="141"/>
      <c r="I37" s="143"/>
      <c r="J37" s="144"/>
      <c r="K37" s="143"/>
      <c r="L37" s="143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287"/>
      <c r="X37" s="168"/>
    </row>
    <row r="38" spans="1:24" s="150" customFormat="1" ht="18" customHeight="1">
      <c r="A38" s="325"/>
      <c r="B38" s="682"/>
      <c r="C38" s="138"/>
      <c r="D38" s="139"/>
      <c r="E38" s="140"/>
      <c r="F38" s="141"/>
      <c r="G38" s="141"/>
      <c r="H38" s="141"/>
      <c r="I38" s="143"/>
      <c r="J38" s="144"/>
      <c r="K38" s="143"/>
      <c r="L38" s="143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287"/>
      <c r="X38" s="168"/>
    </row>
    <row r="39" spans="1:24" s="150" customFormat="1" ht="18" customHeight="1">
      <c r="A39" s="325"/>
      <c r="B39" s="682"/>
      <c r="C39" s="138"/>
      <c r="D39" s="139"/>
      <c r="E39" s="140"/>
      <c r="F39" s="141"/>
      <c r="G39" s="141"/>
      <c r="H39" s="141"/>
      <c r="I39" s="143"/>
      <c r="J39" s="144"/>
      <c r="K39" s="143"/>
      <c r="L39" s="143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287"/>
      <c r="X39" s="168"/>
    </row>
    <row r="40" spans="1:24" s="150" customFormat="1" ht="18" customHeight="1">
      <c r="A40" s="325"/>
      <c r="B40" s="680"/>
      <c r="C40" s="138"/>
      <c r="D40" s="139"/>
      <c r="E40" s="140"/>
      <c r="F40" s="141"/>
      <c r="G40" s="141"/>
      <c r="H40" s="141"/>
      <c r="I40" s="143"/>
      <c r="J40" s="144"/>
      <c r="K40" s="143"/>
      <c r="L40" s="143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287"/>
      <c r="X40" s="168"/>
    </row>
    <row r="41" spans="1:24" s="150" customFormat="1" ht="18" customHeight="1">
      <c r="A41" s="325"/>
      <c r="B41" s="680"/>
      <c r="C41" s="138"/>
      <c r="D41" s="139"/>
      <c r="E41" s="140"/>
      <c r="F41" s="141"/>
      <c r="G41" s="141"/>
      <c r="H41" s="141"/>
      <c r="I41" s="143"/>
      <c r="J41" s="144"/>
      <c r="K41" s="143"/>
      <c r="L41" s="143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287"/>
      <c r="X41" s="168"/>
    </row>
    <row r="42" spans="1:24" s="150" customFormat="1" ht="18" customHeight="1">
      <c r="A42" s="325"/>
      <c r="B42" s="335" t="s">
        <v>46</v>
      </c>
      <c r="C42" s="138"/>
      <c r="D42" s="139"/>
      <c r="E42" s="140"/>
      <c r="F42" s="141"/>
      <c r="G42" s="141"/>
      <c r="H42" s="141"/>
      <c r="I42" s="143"/>
      <c r="J42" s="144">
        <f aca="true" t="shared" si="20" ref="J42:W42">SUM(J43:J49)</f>
        <v>0</v>
      </c>
      <c r="K42" s="143">
        <f t="shared" si="20"/>
        <v>0</v>
      </c>
      <c r="L42" s="143">
        <f t="shared" si="20"/>
        <v>53</v>
      </c>
      <c r="M42" s="167">
        <f t="shared" si="20"/>
        <v>393</v>
      </c>
      <c r="N42" s="167">
        <f t="shared" si="20"/>
        <v>183</v>
      </c>
      <c r="O42" s="167">
        <f t="shared" si="20"/>
        <v>629</v>
      </c>
      <c r="P42" s="167">
        <f t="shared" si="20"/>
        <v>15</v>
      </c>
      <c r="Q42" s="167">
        <f t="shared" si="20"/>
        <v>135</v>
      </c>
      <c r="R42" s="167">
        <f t="shared" si="20"/>
        <v>305</v>
      </c>
      <c r="S42" s="167">
        <f t="shared" si="20"/>
        <v>125</v>
      </c>
      <c r="T42" s="167">
        <f t="shared" si="20"/>
        <v>580</v>
      </c>
      <c r="U42" s="167">
        <f t="shared" si="20"/>
        <v>660</v>
      </c>
      <c r="V42" s="167">
        <f t="shared" si="20"/>
        <v>630</v>
      </c>
      <c r="W42" s="287">
        <f t="shared" si="20"/>
        <v>1100</v>
      </c>
      <c r="X42" s="168">
        <f>O42+T42+U42+V42+W42</f>
        <v>3599</v>
      </c>
    </row>
    <row r="43" spans="1:24" s="150" customFormat="1" ht="26.25" customHeight="1">
      <c r="A43" s="325"/>
      <c r="B43" s="327" t="s">
        <v>404</v>
      </c>
      <c r="C43" s="138"/>
      <c r="D43" s="139"/>
      <c r="E43" s="140"/>
      <c r="F43" s="141"/>
      <c r="G43" s="141"/>
      <c r="H43" s="141"/>
      <c r="I43" s="143"/>
      <c r="J43" s="677">
        <f>SUM(J104+J114)</f>
        <v>0</v>
      </c>
      <c r="K43" s="143">
        <f aca="true" t="shared" si="21" ref="K43:W43">SUM(K104+K114)</f>
        <v>0</v>
      </c>
      <c r="L43" s="143">
        <f t="shared" si="21"/>
        <v>50</v>
      </c>
      <c r="M43" s="167">
        <f t="shared" si="21"/>
        <v>200</v>
      </c>
      <c r="N43" s="167">
        <f t="shared" si="21"/>
        <v>150</v>
      </c>
      <c r="O43" s="167">
        <f t="shared" si="21"/>
        <v>400</v>
      </c>
      <c r="P43" s="167">
        <f t="shared" si="21"/>
        <v>0</v>
      </c>
      <c r="Q43" s="167">
        <f t="shared" si="21"/>
        <v>40</v>
      </c>
      <c r="R43" s="167">
        <f t="shared" si="21"/>
        <v>110</v>
      </c>
      <c r="S43" s="167">
        <f t="shared" si="21"/>
        <v>110</v>
      </c>
      <c r="T43" s="167">
        <f t="shared" si="21"/>
        <v>260</v>
      </c>
      <c r="U43" s="167">
        <f t="shared" si="21"/>
        <v>330</v>
      </c>
      <c r="V43" s="167">
        <f t="shared" si="21"/>
        <v>310</v>
      </c>
      <c r="W43" s="287">
        <f t="shared" si="21"/>
        <v>370</v>
      </c>
      <c r="X43" s="168"/>
    </row>
    <row r="44" spans="1:24" s="150" customFormat="1" ht="18" customHeight="1">
      <c r="A44" s="325"/>
      <c r="B44" s="327" t="s">
        <v>400</v>
      </c>
      <c r="C44" s="138"/>
      <c r="D44" s="139"/>
      <c r="E44" s="140"/>
      <c r="F44" s="141"/>
      <c r="G44" s="141"/>
      <c r="H44" s="141"/>
      <c r="I44" s="143"/>
      <c r="J44" s="144">
        <f>SUM(J106+J108+J116+J119)</f>
        <v>0</v>
      </c>
      <c r="K44" s="143">
        <f aca="true" t="shared" si="22" ref="K44:W44">SUM(K106+K108+K116+K119)</f>
        <v>0</v>
      </c>
      <c r="L44" s="143">
        <f t="shared" si="22"/>
        <v>0</v>
      </c>
      <c r="M44" s="167">
        <f t="shared" si="22"/>
        <v>50</v>
      </c>
      <c r="N44" s="167">
        <f t="shared" si="22"/>
        <v>30</v>
      </c>
      <c r="O44" s="167">
        <f t="shared" si="22"/>
        <v>80</v>
      </c>
      <c r="P44" s="167">
        <f t="shared" si="22"/>
        <v>10</v>
      </c>
      <c r="Q44" s="167">
        <f t="shared" si="22"/>
        <v>15</v>
      </c>
      <c r="R44" s="167">
        <f t="shared" si="22"/>
        <v>15</v>
      </c>
      <c r="S44" s="167">
        <f t="shared" si="22"/>
        <v>10</v>
      </c>
      <c r="T44" s="167">
        <f t="shared" si="22"/>
        <v>50</v>
      </c>
      <c r="U44" s="167">
        <f t="shared" si="22"/>
        <v>60</v>
      </c>
      <c r="V44" s="167">
        <f t="shared" si="22"/>
        <v>50</v>
      </c>
      <c r="W44" s="287">
        <f t="shared" si="22"/>
        <v>60</v>
      </c>
      <c r="X44" s="168"/>
    </row>
    <row r="45" spans="1:24" s="150" customFormat="1" ht="26.25" customHeight="1">
      <c r="A45" s="325"/>
      <c r="B45" s="327" t="s">
        <v>403</v>
      </c>
      <c r="C45" s="138"/>
      <c r="D45" s="139"/>
      <c r="E45" s="140"/>
      <c r="F45" s="141"/>
      <c r="G45" s="141"/>
      <c r="H45" s="141"/>
      <c r="I45" s="143"/>
      <c r="J45" s="144">
        <f>SUM(J105)</f>
        <v>0</v>
      </c>
      <c r="K45" s="143">
        <f aca="true" t="shared" si="23" ref="K45:W45">SUM(K105)</f>
        <v>0</v>
      </c>
      <c r="L45" s="143">
        <f t="shared" si="23"/>
        <v>3</v>
      </c>
      <c r="M45" s="167">
        <f t="shared" si="23"/>
        <v>3</v>
      </c>
      <c r="N45" s="167">
        <f t="shared" si="23"/>
        <v>3</v>
      </c>
      <c r="O45" s="167">
        <f t="shared" si="23"/>
        <v>9</v>
      </c>
      <c r="P45" s="167">
        <f t="shared" si="23"/>
        <v>5</v>
      </c>
      <c r="Q45" s="167">
        <f t="shared" si="23"/>
        <v>5</v>
      </c>
      <c r="R45" s="167">
        <f t="shared" si="23"/>
        <v>5</v>
      </c>
      <c r="S45" s="167">
        <f t="shared" si="23"/>
        <v>5</v>
      </c>
      <c r="T45" s="167">
        <f t="shared" si="23"/>
        <v>20</v>
      </c>
      <c r="U45" s="167">
        <f t="shared" si="23"/>
        <v>20</v>
      </c>
      <c r="V45" s="167">
        <f t="shared" si="23"/>
        <v>20</v>
      </c>
      <c r="W45" s="287">
        <f t="shared" si="23"/>
        <v>20</v>
      </c>
      <c r="X45" s="168"/>
    </row>
    <row r="46" spans="1:24" s="150" customFormat="1" ht="26.25" customHeight="1">
      <c r="A46" s="325"/>
      <c r="B46" s="327" t="s">
        <v>405</v>
      </c>
      <c r="C46" s="138"/>
      <c r="D46" s="139"/>
      <c r="E46" s="140"/>
      <c r="F46" s="141"/>
      <c r="G46" s="141"/>
      <c r="H46" s="141"/>
      <c r="I46" s="143"/>
      <c r="J46" s="144">
        <f aca="true" t="shared" si="24" ref="J46:W46">SUM(J117+J118)</f>
        <v>0</v>
      </c>
      <c r="K46" s="143">
        <f t="shared" si="24"/>
        <v>0</v>
      </c>
      <c r="L46" s="143">
        <f t="shared" si="24"/>
        <v>0</v>
      </c>
      <c r="M46" s="167">
        <f t="shared" si="24"/>
        <v>140</v>
      </c>
      <c r="N46" s="167">
        <f t="shared" si="24"/>
        <v>0</v>
      </c>
      <c r="O46" s="167">
        <f t="shared" si="24"/>
        <v>140</v>
      </c>
      <c r="P46" s="167">
        <f t="shared" si="24"/>
        <v>0</v>
      </c>
      <c r="Q46" s="167">
        <f t="shared" si="24"/>
        <v>0</v>
      </c>
      <c r="R46" s="167">
        <f t="shared" si="24"/>
        <v>0</v>
      </c>
      <c r="S46" s="167">
        <f t="shared" si="24"/>
        <v>0</v>
      </c>
      <c r="T46" s="167">
        <f t="shared" si="24"/>
        <v>0</v>
      </c>
      <c r="U46" s="167">
        <f t="shared" si="24"/>
        <v>0</v>
      </c>
      <c r="V46" s="167">
        <f t="shared" si="24"/>
        <v>0</v>
      </c>
      <c r="W46" s="287">
        <f t="shared" si="24"/>
        <v>0</v>
      </c>
      <c r="X46" s="168"/>
    </row>
    <row r="47" spans="1:24" s="150" customFormat="1" ht="26.25" customHeight="1">
      <c r="A47" s="325"/>
      <c r="B47" s="327" t="s">
        <v>252</v>
      </c>
      <c r="C47" s="138"/>
      <c r="D47" s="139"/>
      <c r="E47" s="140"/>
      <c r="F47" s="141"/>
      <c r="G47" s="141"/>
      <c r="H47" s="141"/>
      <c r="I47" s="143"/>
      <c r="J47" s="144">
        <f>SUM(J112)</f>
        <v>0</v>
      </c>
      <c r="K47" s="143">
        <f aca="true" t="shared" si="25" ref="K47:W47">SUM(K112)</f>
        <v>0</v>
      </c>
      <c r="L47" s="143">
        <f t="shared" si="25"/>
        <v>0</v>
      </c>
      <c r="M47" s="167">
        <f t="shared" si="25"/>
        <v>0</v>
      </c>
      <c r="N47" s="167">
        <f t="shared" si="25"/>
        <v>0</v>
      </c>
      <c r="O47" s="167">
        <f t="shared" si="25"/>
        <v>0</v>
      </c>
      <c r="P47" s="167">
        <f t="shared" si="25"/>
        <v>0</v>
      </c>
      <c r="Q47" s="167">
        <f t="shared" si="25"/>
        <v>0</v>
      </c>
      <c r="R47" s="167">
        <f t="shared" si="25"/>
        <v>0</v>
      </c>
      <c r="S47" s="167">
        <f t="shared" si="25"/>
        <v>0</v>
      </c>
      <c r="T47" s="167">
        <f t="shared" si="25"/>
        <v>0</v>
      </c>
      <c r="U47" s="167">
        <f t="shared" si="25"/>
        <v>0</v>
      </c>
      <c r="V47" s="167">
        <f t="shared" si="25"/>
        <v>0</v>
      </c>
      <c r="W47" s="287">
        <f t="shared" si="25"/>
        <v>400</v>
      </c>
      <c r="X47" s="168"/>
    </row>
    <row r="48" spans="1:24" s="150" customFormat="1" ht="26.25" customHeight="1">
      <c r="A48" s="325"/>
      <c r="B48" s="327" t="s">
        <v>246</v>
      </c>
      <c r="C48" s="138"/>
      <c r="D48" s="139"/>
      <c r="E48" s="140"/>
      <c r="F48" s="141"/>
      <c r="G48" s="141"/>
      <c r="H48" s="141"/>
      <c r="I48" s="143"/>
      <c r="J48" s="144">
        <f>SUM(J109)</f>
        <v>0</v>
      </c>
      <c r="K48" s="143">
        <f aca="true" t="shared" si="26" ref="K48:W48">SUM(K109)</f>
        <v>0</v>
      </c>
      <c r="L48" s="143">
        <f t="shared" si="26"/>
        <v>0</v>
      </c>
      <c r="M48" s="167">
        <f t="shared" si="26"/>
        <v>0</v>
      </c>
      <c r="N48" s="167">
        <f t="shared" si="26"/>
        <v>0</v>
      </c>
      <c r="O48" s="167">
        <f t="shared" si="26"/>
        <v>0</v>
      </c>
      <c r="P48" s="167">
        <f t="shared" si="26"/>
        <v>0</v>
      </c>
      <c r="Q48" s="167">
        <f t="shared" si="26"/>
        <v>50</v>
      </c>
      <c r="R48" s="167">
        <f t="shared" si="26"/>
        <v>150</v>
      </c>
      <c r="S48" s="167">
        <f t="shared" si="26"/>
        <v>0</v>
      </c>
      <c r="T48" s="167">
        <f t="shared" si="26"/>
        <v>200</v>
      </c>
      <c r="U48" s="167">
        <f t="shared" si="26"/>
        <v>200</v>
      </c>
      <c r="V48" s="167">
        <f t="shared" si="26"/>
        <v>200</v>
      </c>
      <c r="W48" s="287">
        <f t="shared" si="26"/>
        <v>200</v>
      </c>
      <c r="X48" s="168"/>
    </row>
    <row r="49" spans="1:24" s="150" customFormat="1" ht="30.75" customHeight="1">
      <c r="A49" s="325"/>
      <c r="B49" s="327" t="s">
        <v>406</v>
      </c>
      <c r="C49" s="138"/>
      <c r="D49" s="139"/>
      <c r="E49" s="140"/>
      <c r="F49" s="141"/>
      <c r="G49" s="141"/>
      <c r="H49" s="141"/>
      <c r="I49" s="143"/>
      <c r="J49" s="144">
        <f>SUM(J125)</f>
        <v>0</v>
      </c>
      <c r="K49" s="143">
        <f aca="true" t="shared" si="27" ref="K49:W49">SUM(K125)</f>
        <v>0</v>
      </c>
      <c r="L49" s="143">
        <f t="shared" si="27"/>
        <v>0</v>
      </c>
      <c r="M49" s="167">
        <f t="shared" si="27"/>
        <v>0</v>
      </c>
      <c r="N49" s="167">
        <f t="shared" si="27"/>
        <v>0</v>
      </c>
      <c r="O49" s="167">
        <f t="shared" si="27"/>
        <v>0</v>
      </c>
      <c r="P49" s="167">
        <f t="shared" si="27"/>
        <v>0</v>
      </c>
      <c r="Q49" s="167">
        <f t="shared" si="27"/>
        <v>25</v>
      </c>
      <c r="R49" s="167">
        <f t="shared" si="27"/>
        <v>25</v>
      </c>
      <c r="S49" s="167">
        <f t="shared" si="27"/>
        <v>0</v>
      </c>
      <c r="T49" s="167">
        <f t="shared" si="27"/>
        <v>50</v>
      </c>
      <c r="U49" s="167">
        <f t="shared" si="27"/>
        <v>50</v>
      </c>
      <c r="V49" s="167">
        <f t="shared" si="27"/>
        <v>50</v>
      </c>
      <c r="W49" s="287">
        <f t="shared" si="27"/>
        <v>50</v>
      </c>
      <c r="X49" s="168"/>
    </row>
    <row r="50" spans="1:24" s="150" customFormat="1" ht="18" customHeight="1">
      <c r="A50" s="325"/>
      <c r="B50" s="335" t="s">
        <v>44</v>
      </c>
      <c r="C50" s="138"/>
      <c r="D50" s="139"/>
      <c r="E50" s="140"/>
      <c r="F50" s="141"/>
      <c r="G50" s="141"/>
      <c r="H50" s="141"/>
      <c r="I50" s="143"/>
      <c r="J50" s="144">
        <f>SUM(J51:J54)</f>
        <v>0</v>
      </c>
      <c r="K50" s="143">
        <f aca="true" t="shared" si="28" ref="K50:W50">SUM(K51:K54)</f>
        <v>0</v>
      </c>
      <c r="L50" s="143">
        <f t="shared" si="28"/>
        <v>0</v>
      </c>
      <c r="M50" s="167">
        <f t="shared" si="28"/>
        <v>0</v>
      </c>
      <c r="N50" s="167">
        <f t="shared" si="28"/>
        <v>0</v>
      </c>
      <c r="O50" s="167">
        <f t="shared" si="28"/>
        <v>0</v>
      </c>
      <c r="P50" s="167">
        <f t="shared" si="28"/>
        <v>0</v>
      </c>
      <c r="Q50" s="167">
        <f t="shared" si="28"/>
        <v>0</v>
      </c>
      <c r="R50" s="167">
        <f t="shared" si="28"/>
        <v>0</v>
      </c>
      <c r="S50" s="167">
        <f t="shared" si="28"/>
        <v>0</v>
      </c>
      <c r="T50" s="167">
        <f t="shared" si="28"/>
        <v>0</v>
      </c>
      <c r="U50" s="167">
        <f t="shared" si="28"/>
        <v>0</v>
      </c>
      <c r="V50" s="167">
        <f t="shared" si="28"/>
        <v>0</v>
      </c>
      <c r="W50" s="287">
        <f t="shared" si="28"/>
        <v>0</v>
      </c>
      <c r="X50" s="168"/>
    </row>
    <row r="51" spans="1:24" s="150" customFormat="1" ht="17.25" customHeight="1">
      <c r="A51" s="325"/>
      <c r="B51" s="327"/>
      <c r="C51" s="138"/>
      <c r="D51" s="139"/>
      <c r="E51" s="140"/>
      <c r="F51" s="141"/>
      <c r="G51" s="141"/>
      <c r="H51" s="141"/>
      <c r="I51" s="143"/>
      <c r="J51" s="144">
        <f>SUM(J110+J111+J113)</f>
        <v>0</v>
      </c>
      <c r="K51" s="143">
        <f aca="true" t="shared" si="29" ref="K51:P51">SUM(K110+K111+K113)</f>
        <v>0</v>
      </c>
      <c r="L51" s="143">
        <f t="shared" si="29"/>
        <v>0</v>
      </c>
      <c r="M51" s="167">
        <f t="shared" si="29"/>
        <v>0</v>
      </c>
      <c r="N51" s="167">
        <f t="shared" si="29"/>
        <v>0</v>
      </c>
      <c r="O51" s="167">
        <f t="shared" si="29"/>
        <v>0</v>
      </c>
      <c r="P51" s="167">
        <f t="shared" si="29"/>
        <v>0</v>
      </c>
      <c r="Q51" s="167"/>
      <c r="R51" s="167"/>
      <c r="S51" s="167"/>
      <c r="T51" s="167"/>
      <c r="U51" s="167"/>
      <c r="V51" s="167"/>
      <c r="W51" s="287"/>
      <c r="X51" s="168"/>
    </row>
    <row r="52" spans="1:24" s="150" customFormat="1" ht="17.25" customHeight="1">
      <c r="A52" s="325"/>
      <c r="B52" s="327"/>
      <c r="C52" s="138"/>
      <c r="D52" s="139"/>
      <c r="E52" s="140"/>
      <c r="F52" s="141"/>
      <c r="G52" s="141"/>
      <c r="H52" s="141"/>
      <c r="I52" s="143"/>
      <c r="J52" s="144"/>
      <c r="K52" s="143"/>
      <c r="L52" s="143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287"/>
      <c r="X52" s="168"/>
    </row>
    <row r="53" spans="1:24" s="150" customFormat="1" ht="18" customHeight="1">
      <c r="A53" s="325"/>
      <c r="B53" s="327"/>
      <c r="C53" s="138"/>
      <c r="D53" s="139"/>
      <c r="E53" s="140"/>
      <c r="F53" s="141"/>
      <c r="G53" s="141"/>
      <c r="H53" s="141"/>
      <c r="I53" s="143"/>
      <c r="J53" s="144"/>
      <c r="K53" s="143"/>
      <c r="L53" s="143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287"/>
      <c r="X53" s="168"/>
    </row>
    <row r="54" spans="1:24" s="150" customFormat="1" ht="18" customHeight="1">
      <c r="A54" s="325"/>
      <c r="B54" s="327"/>
      <c r="C54" s="138"/>
      <c r="D54" s="139"/>
      <c r="E54" s="140"/>
      <c r="F54" s="141"/>
      <c r="G54" s="141"/>
      <c r="H54" s="141"/>
      <c r="I54" s="143"/>
      <c r="J54" s="144"/>
      <c r="K54" s="143"/>
      <c r="L54" s="143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287"/>
      <c r="X54" s="168"/>
    </row>
    <row r="55" spans="1:24" ht="16.5" customHeight="1">
      <c r="A55" s="371" t="s">
        <v>30</v>
      </c>
      <c r="B55" s="113" t="s">
        <v>31</v>
      </c>
      <c r="C55" s="372" t="e">
        <f>C56+#REF!</f>
        <v>#REF!</v>
      </c>
      <c r="D55" s="115"/>
      <c r="E55" s="116" t="e">
        <f>SUM(E56:E86)</f>
        <v>#REF!</v>
      </c>
      <c r="F55" s="117" t="e">
        <f>SUM(F56:F86)</f>
        <v>#REF!</v>
      </c>
      <c r="G55" s="117" t="e">
        <f>SUM(G56:G86)</f>
        <v>#REF!</v>
      </c>
      <c r="H55" s="117" t="e">
        <f>SUM(H56:H86)</f>
        <v>#REF!</v>
      </c>
      <c r="I55" s="118" t="e">
        <f>SUM(I56:I86)</f>
        <v>#REF!</v>
      </c>
      <c r="J55" s="117">
        <f>J56+J57+J86+J91</f>
        <v>172.8</v>
      </c>
      <c r="K55" s="117">
        <f>K56+K57+K86+K91</f>
        <v>276</v>
      </c>
      <c r="L55" s="117">
        <f>L56+L57+L86+L91</f>
        <v>801</v>
      </c>
      <c r="M55" s="117">
        <f>M56+M57+M86+M91</f>
        <v>1019</v>
      </c>
      <c r="N55" s="373">
        <f>N56+N57+N86+N91</f>
        <v>2247</v>
      </c>
      <c r="O55" s="122">
        <f aca="true" t="shared" si="30" ref="O55:O85">SUM(K55:N55)</f>
        <v>4343</v>
      </c>
      <c r="P55" s="116">
        <f>P56+P57+P86+P91</f>
        <v>550</v>
      </c>
      <c r="Q55" s="117">
        <f>Q56+Q57+Q86+Q91</f>
        <v>1610</v>
      </c>
      <c r="R55" s="117">
        <f>R56+R57+R86+R91</f>
        <v>2020</v>
      </c>
      <c r="S55" s="373">
        <f>S56+S57+S86+S91</f>
        <v>2275</v>
      </c>
      <c r="T55" s="122">
        <f aca="true" t="shared" si="31" ref="T55:T62">SUM(P55:S55)</f>
        <v>6455</v>
      </c>
      <c r="U55" s="374">
        <f>U56+U57+U86+U91</f>
        <v>4870</v>
      </c>
      <c r="V55" s="122">
        <f>V56+V57+V86+V91</f>
        <v>3710</v>
      </c>
      <c r="W55" s="374">
        <f>W56+W57+W86+W91</f>
        <v>3720</v>
      </c>
      <c r="X55" s="201">
        <f>SUM(O55+T55+U55+V55+W55)</f>
        <v>23098</v>
      </c>
    </row>
    <row r="56" spans="1:23" ht="16.5" customHeight="1">
      <c r="A56" s="375" t="s">
        <v>32</v>
      </c>
      <c r="B56" s="124" t="s">
        <v>33</v>
      </c>
      <c r="C56" s="376"/>
      <c r="D56" s="126"/>
      <c r="E56" s="127">
        <v>951.9</v>
      </c>
      <c r="F56" s="128">
        <v>952</v>
      </c>
      <c r="G56" s="128">
        <v>1076.3</v>
      </c>
      <c r="H56" s="129">
        <v>1332.9</v>
      </c>
      <c r="I56" s="130">
        <f>SUM(E56:H56)</f>
        <v>4313.1</v>
      </c>
      <c r="J56" s="131"/>
      <c r="K56" s="127"/>
      <c r="L56" s="128"/>
      <c r="M56" s="128"/>
      <c r="N56" s="134"/>
      <c r="O56" s="133">
        <f t="shared" si="30"/>
        <v>0</v>
      </c>
      <c r="P56" s="127"/>
      <c r="Q56" s="128"/>
      <c r="R56" s="128"/>
      <c r="S56" s="134"/>
      <c r="T56" s="133">
        <f t="shared" si="31"/>
        <v>0</v>
      </c>
      <c r="U56" s="377"/>
      <c r="V56" s="133"/>
      <c r="W56" s="377"/>
    </row>
    <row r="57" spans="1:24" ht="16.5" customHeight="1">
      <c r="A57" s="375" t="s">
        <v>34</v>
      </c>
      <c r="B57" s="124" t="s">
        <v>43</v>
      </c>
      <c r="C57" s="376"/>
      <c r="D57" s="126"/>
      <c r="E57" s="127"/>
      <c r="F57" s="128"/>
      <c r="G57" s="128"/>
      <c r="H57" s="134"/>
      <c r="I57" s="130"/>
      <c r="J57" s="131">
        <f aca="true" t="shared" si="32" ref="J57:S57">SUM(J58:J81)</f>
        <v>168.8</v>
      </c>
      <c r="K57" s="131">
        <f t="shared" si="32"/>
        <v>258</v>
      </c>
      <c r="L57" s="131">
        <f t="shared" si="32"/>
        <v>467</v>
      </c>
      <c r="M57" s="131">
        <f t="shared" si="32"/>
        <v>550</v>
      </c>
      <c r="N57" s="131">
        <f t="shared" si="32"/>
        <v>1800</v>
      </c>
      <c r="O57" s="131">
        <f t="shared" si="32"/>
        <v>3075</v>
      </c>
      <c r="P57" s="131">
        <f t="shared" si="32"/>
        <v>420</v>
      </c>
      <c r="Q57" s="131">
        <f t="shared" si="32"/>
        <v>970</v>
      </c>
      <c r="R57" s="131">
        <f t="shared" si="32"/>
        <v>1130</v>
      </c>
      <c r="S57" s="131">
        <f t="shared" si="32"/>
        <v>1450</v>
      </c>
      <c r="T57" s="131">
        <f t="shared" si="31"/>
        <v>3970</v>
      </c>
      <c r="U57" s="131">
        <f>SUM(U58:U81)</f>
        <v>2500</v>
      </c>
      <c r="V57" s="131">
        <f>SUM(V58:V81)</f>
        <v>1400</v>
      </c>
      <c r="W57" s="131">
        <f>SUM(W58:W81)</f>
        <v>1000</v>
      </c>
      <c r="X57" s="201">
        <f>SUM(O57+T57+U57+V57+W57)</f>
        <v>11945</v>
      </c>
    </row>
    <row r="58" spans="1:23" ht="26.25" customHeight="1">
      <c r="A58" s="378" t="s">
        <v>35</v>
      </c>
      <c r="B58" s="379" t="s">
        <v>180</v>
      </c>
      <c r="C58" s="380"/>
      <c r="D58" s="139"/>
      <c r="E58" s="140"/>
      <c r="F58" s="141"/>
      <c r="G58" s="141"/>
      <c r="H58" s="142"/>
      <c r="I58" s="143"/>
      <c r="J58" s="144"/>
      <c r="K58" s="140"/>
      <c r="L58" s="141"/>
      <c r="M58" s="141">
        <v>50</v>
      </c>
      <c r="N58" s="141">
        <v>50</v>
      </c>
      <c r="O58" s="148">
        <f t="shared" si="30"/>
        <v>100</v>
      </c>
      <c r="P58" s="140">
        <v>20</v>
      </c>
      <c r="Q58" s="141">
        <v>50</v>
      </c>
      <c r="R58" s="141">
        <v>130</v>
      </c>
      <c r="S58" s="142">
        <v>150</v>
      </c>
      <c r="T58" s="148">
        <f t="shared" si="31"/>
        <v>350</v>
      </c>
      <c r="U58" s="381"/>
      <c r="V58" s="148"/>
      <c r="W58" s="381"/>
    </row>
    <row r="59" spans="1:23" ht="16.5" customHeight="1">
      <c r="A59" s="378" t="s">
        <v>36</v>
      </c>
      <c r="B59" s="382" t="s">
        <v>181</v>
      </c>
      <c r="C59" s="380"/>
      <c r="D59" s="139"/>
      <c r="E59" s="140"/>
      <c r="F59" s="141"/>
      <c r="G59" s="141"/>
      <c r="H59" s="142"/>
      <c r="I59" s="143"/>
      <c r="J59" s="144"/>
      <c r="K59" s="140"/>
      <c r="L59" s="141"/>
      <c r="M59" s="141">
        <v>50</v>
      </c>
      <c r="N59" s="141">
        <v>150</v>
      </c>
      <c r="O59" s="148">
        <f t="shared" si="30"/>
        <v>200</v>
      </c>
      <c r="P59" s="140"/>
      <c r="Q59" s="141">
        <v>50</v>
      </c>
      <c r="R59" s="141">
        <v>100</v>
      </c>
      <c r="S59" s="141"/>
      <c r="T59" s="148">
        <f t="shared" si="31"/>
        <v>150</v>
      </c>
      <c r="U59" s="381"/>
      <c r="V59" s="148"/>
      <c r="W59" s="381"/>
    </row>
    <row r="60" spans="1:23" ht="24.75" customHeight="1">
      <c r="A60" s="378" t="s">
        <v>37</v>
      </c>
      <c r="B60" s="382" t="s">
        <v>182</v>
      </c>
      <c r="C60" s="380"/>
      <c r="D60" s="139"/>
      <c r="E60" s="140"/>
      <c r="F60" s="141"/>
      <c r="G60" s="141"/>
      <c r="H60" s="142"/>
      <c r="I60" s="143"/>
      <c r="J60" s="144"/>
      <c r="K60" s="140"/>
      <c r="L60" s="141"/>
      <c r="M60" s="141"/>
      <c r="N60" s="141"/>
      <c r="O60" s="148">
        <f t="shared" si="30"/>
        <v>0</v>
      </c>
      <c r="P60" s="140">
        <v>200</v>
      </c>
      <c r="Q60" s="141">
        <v>230</v>
      </c>
      <c r="R60" s="141">
        <v>200</v>
      </c>
      <c r="S60" s="142">
        <v>300</v>
      </c>
      <c r="T60" s="148">
        <f t="shared" si="31"/>
        <v>930</v>
      </c>
      <c r="U60" s="381">
        <v>300</v>
      </c>
      <c r="V60" s="148"/>
      <c r="W60" s="381"/>
    </row>
    <row r="61" spans="1:23" ht="25.5" customHeight="1">
      <c r="A61" s="383" t="s">
        <v>38</v>
      </c>
      <c r="B61" s="382" t="s">
        <v>183</v>
      </c>
      <c r="C61" s="380"/>
      <c r="D61" s="139"/>
      <c r="E61" s="140"/>
      <c r="F61" s="141"/>
      <c r="G61" s="141"/>
      <c r="H61" s="142"/>
      <c r="I61" s="143"/>
      <c r="J61" s="144"/>
      <c r="K61" s="140"/>
      <c r="L61" s="141"/>
      <c r="M61" s="141"/>
      <c r="N61" s="141">
        <v>100</v>
      </c>
      <c r="O61" s="148">
        <f t="shared" si="30"/>
        <v>100</v>
      </c>
      <c r="P61" s="140"/>
      <c r="Q61" s="141">
        <v>200</v>
      </c>
      <c r="R61" s="141">
        <v>300</v>
      </c>
      <c r="S61" s="142"/>
      <c r="T61" s="148">
        <f t="shared" si="31"/>
        <v>500</v>
      </c>
      <c r="U61" s="381">
        <v>400</v>
      </c>
      <c r="V61" s="148">
        <v>400</v>
      </c>
      <c r="W61" s="381"/>
    </row>
    <row r="62" spans="1:23" ht="16.5" customHeight="1">
      <c r="A62" s="383" t="s">
        <v>39</v>
      </c>
      <c r="B62" s="382" t="s">
        <v>184</v>
      </c>
      <c r="C62" s="380"/>
      <c r="D62" s="139"/>
      <c r="E62" s="140"/>
      <c r="F62" s="141"/>
      <c r="G62" s="141"/>
      <c r="H62" s="142"/>
      <c r="I62" s="143"/>
      <c r="J62" s="144">
        <v>24.8</v>
      </c>
      <c r="K62" s="140"/>
      <c r="L62" s="141"/>
      <c r="M62" s="141"/>
      <c r="N62" s="141">
        <v>161</v>
      </c>
      <c r="O62" s="148">
        <f t="shared" si="30"/>
        <v>161</v>
      </c>
      <c r="P62" s="140"/>
      <c r="Q62" s="141">
        <v>100</v>
      </c>
      <c r="R62" s="141"/>
      <c r="S62" s="142"/>
      <c r="T62" s="148">
        <f t="shared" si="31"/>
        <v>100</v>
      </c>
      <c r="U62" s="381"/>
      <c r="V62" s="148"/>
      <c r="W62" s="381"/>
    </row>
    <row r="63" spans="1:23" ht="24" customHeight="1">
      <c r="A63" s="383" t="s">
        <v>185</v>
      </c>
      <c r="B63" s="382" t="s">
        <v>186</v>
      </c>
      <c r="C63" s="380"/>
      <c r="D63" s="139"/>
      <c r="E63" s="140"/>
      <c r="F63" s="141"/>
      <c r="G63" s="141"/>
      <c r="H63" s="142"/>
      <c r="I63" s="143"/>
      <c r="J63" s="144"/>
      <c r="K63" s="140"/>
      <c r="L63" s="141"/>
      <c r="M63" s="141"/>
      <c r="N63" s="141"/>
      <c r="O63" s="148">
        <f t="shared" si="30"/>
        <v>0</v>
      </c>
      <c r="P63" s="140">
        <v>200</v>
      </c>
      <c r="Q63" s="141">
        <v>340</v>
      </c>
      <c r="R63" s="141"/>
      <c r="S63" s="142"/>
      <c r="T63" s="148">
        <f>SUM(P63:S63)</f>
        <v>540</v>
      </c>
      <c r="U63" s="381"/>
      <c r="V63" s="148"/>
      <c r="W63" s="381"/>
    </row>
    <row r="64" spans="1:23" ht="25.5" customHeight="1">
      <c r="A64" s="383" t="s">
        <v>187</v>
      </c>
      <c r="B64" s="382" t="s">
        <v>188</v>
      </c>
      <c r="C64" s="140"/>
      <c r="D64" s="384"/>
      <c r="E64" s="141"/>
      <c r="F64" s="141"/>
      <c r="G64" s="141"/>
      <c r="H64" s="141"/>
      <c r="I64" s="142"/>
      <c r="J64" s="144"/>
      <c r="K64" s="140"/>
      <c r="L64" s="141"/>
      <c r="M64" s="141">
        <v>130</v>
      </c>
      <c r="N64" s="141">
        <v>70</v>
      </c>
      <c r="O64" s="148">
        <f t="shared" si="30"/>
        <v>200</v>
      </c>
      <c r="P64" s="140"/>
      <c r="Q64" s="141"/>
      <c r="R64" s="141"/>
      <c r="S64" s="142"/>
      <c r="T64" s="148">
        <f>SUM(P64:S64)</f>
        <v>0</v>
      </c>
      <c r="U64" s="381"/>
      <c r="V64" s="148"/>
      <c r="W64" s="381"/>
    </row>
    <row r="65" spans="1:23" ht="16.5" customHeight="1">
      <c r="A65" s="383" t="s">
        <v>189</v>
      </c>
      <c r="B65" s="379" t="s">
        <v>190</v>
      </c>
      <c r="C65" s="140"/>
      <c r="D65" s="384"/>
      <c r="E65" s="141"/>
      <c r="F65" s="141"/>
      <c r="G65" s="141"/>
      <c r="H65" s="141"/>
      <c r="I65" s="142"/>
      <c r="J65" s="144"/>
      <c r="K65" s="140"/>
      <c r="L65" s="141">
        <v>150</v>
      </c>
      <c r="M65" s="141"/>
      <c r="N65" s="141">
        <v>1000</v>
      </c>
      <c r="O65" s="148">
        <f t="shared" si="30"/>
        <v>1150</v>
      </c>
      <c r="P65" s="140"/>
      <c r="Q65" s="141"/>
      <c r="R65" s="141">
        <v>400</v>
      </c>
      <c r="S65" s="142">
        <v>500</v>
      </c>
      <c r="T65" s="148">
        <f>SUM(P65:S65)</f>
        <v>900</v>
      </c>
      <c r="U65" s="381">
        <v>900</v>
      </c>
      <c r="V65" s="148">
        <v>800</v>
      </c>
      <c r="W65" s="381">
        <v>1000</v>
      </c>
    </row>
    <row r="66" spans="1:23" ht="21.75" customHeight="1">
      <c r="A66" s="383"/>
      <c r="B66" s="386" t="s">
        <v>191</v>
      </c>
      <c r="C66" s="140"/>
      <c r="D66" s="384"/>
      <c r="E66" s="141"/>
      <c r="F66" s="141"/>
      <c r="G66" s="141"/>
      <c r="H66" s="141"/>
      <c r="I66" s="142"/>
      <c r="J66" s="144"/>
      <c r="K66" s="140"/>
      <c r="L66" s="141"/>
      <c r="M66" s="141"/>
      <c r="N66" s="141"/>
      <c r="O66" s="148">
        <f t="shared" si="30"/>
        <v>0</v>
      </c>
      <c r="P66" s="140"/>
      <c r="Q66" s="141"/>
      <c r="R66" s="141"/>
      <c r="S66" s="142"/>
      <c r="T66" s="148"/>
      <c r="U66" s="381"/>
      <c r="V66" s="148"/>
      <c r="W66" s="381"/>
    </row>
    <row r="67" spans="1:23" ht="24.75" customHeight="1">
      <c r="A67" s="383"/>
      <c r="B67" s="386" t="s">
        <v>192</v>
      </c>
      <c r="C67" s="140"/>
      <c r="D67" s="384"/>
      <c r="E67" s="141"/>
      <c r="F67" s="141"/>
      <c r="G67" s="141"/>
      <c r="H67" s="141"/>
      <c r="I67" s="142"/>
      <c r="J67" s="144"/>
      <c r="K67" s="140"/>
      <c r="L67" s="141"/>
      <c r="M67" s="141"/>
      <c r="N67" s="141"/>
      <c r="O67" s="148">
        <f t="shared" si="30"/>
        <v>0</v>
      </c>
      <c r="P67" s="140"/>
      <c r="Q67" s="141"/>
      <c r="R67" s="141"/>
      <c r="S67" s="142"/>
      <c r="T67" s="148"/>
      <c r="U67" s="381"/>
      <c r="V67" s="148"/>
      <c r="W67" s="381"/>
    </row>
    <row r="68" spans="1:23" ht="22.5" customHeight="1">
      <c r="A68" s="383"/>
      <c r="B68" s="386" t="s">
        <v>193</v>
      </c>
      <c r="C68" s="140"/>
      <c r="D68" s="384"/>
      <c r="E68" s="141"/>
      <c r="F68" s="141"/>
      <c r="G68" s="141"/>
      <c r="H68" s="141"/>
      <c r="I68" s="142"/>
      <c r="J68" s="144"/>
      <c r="K68" s="140"/>
      <c r="L68" s="141"/>
      <c r="M68" s="141"/>
      <c r="N68" s="141"/>
      <c r="O68" s="148">
        <f t="shared" si="30"/>
        <v>0</v>
      </c>
      <c r="P68" s="140"/>
      <c r="Q68" s="141"/>
      <c r="R68" s="141"/>
      <c r="S68" s="142"/>
      <c r="T68" s="148"/>
      <c r="U68" s="381"/>
      <c r="V68" s="148"/>
      <c r="W68" s="381"/>
    </row>
    <row r="69" spans="1:23" ht="21.75" customHeight="1">
      <c r="A69" s="383"/>
      <c r="B69" s="386" t="s">
        <v>194</v>
      </c>
      <c r="C69" s="140"/>
      <c r="D69" s="384"/>
      <c r="E69" s="141"/>
      <c r="F69" s="141"/>
      <c r="G69" s="141"/>
      <c r="H69" s="141"/>
      <c r="I69" s="142"/>
      <c r="J69" s="144"/>
      <c r="K69" s="140"/>
      <c r="L69" s="141"/>
      <c r="M69" s="141"/>
      <c r="N69" s="141"/>
      <c r="O69" s="148">
        <f t="shared" si="30"/>
        <v>0</v>
      </c>
      <c r="P69" s="140"/>
      <c r="Q69" s="141"/>
      <c r="R69" s="141"/>
      <c r="S69" s="142"/>
      <c r="T69" s="148"/>
      <c r="U69" s="381"/>
      <c r="V69" s="148"/>
      <c r="W69" s="381"/>
    </row>
    <row r="70" spans="1:23" ht="21.75" customHeight="1">
      <c r="A70" s="383"/>
      <c r="B70" s="386" t="s">
        <v>195</v>
      </c>
      <c r="C70" s="140"/>
      <c r="D70" s="384"/>
      <c r="E70" s="141"/>
      <c r="F70" s="141"/>
      <c r="G70" s="141"/>
      <c r="H70" s="141"/>
      <c r="I70" s="142"/>
      <c r="J70" s="144"/>
      <c r="K70" s="140"/>
      <c r="L70" s="141"/>
      <c r="M70" s="141"/>
      <c r="N70" s="141"/>
      <c r="O70" s="148">
        <f t="shared" si="30"/>
        <v>0</v>
      </c>
      <c r="P70" s="140"/>
      <c r="Q70" s="141"/>
      <c r="R70" s="141"/>
      <c r="S70" s="142"/>
      <c r="T70" s="148"/>
      <c r="U70" s="381"/>
      <c r="V70" s="148"/>
      <c r="W70" s="381"/>
    </row>
    <row r="71" spans="1:23" ht="21.75" customHeight="1">
      <c r="A71" s="383"/>
      <c r="B71" s="387" t="s">
        <v>196</v>
      </c>
      <c r="C71" s="140"/>
      <c r="D71" s="384"/>
      <c r="E71" s="141"/>
      <c r="F71" s="141"/>
      <c r="G71" s="141"/>
      <c r="H71" s="141"/>
      <c r="I71" s="142"/>
      <c r="J71" s="144"/>
      <c r="K71" s="140"/>
      <c r="L71" s="141"/>
      <c r="M71" s="141"/>
      <c r="N71" s="141"/>
      <c r="O71" s="148">
        <f t="shared" si="30"/>
        <v>0</v>
      </c>
      <c r="P71" s="140"/>
      <c r="Q71" s="141"/>
      <c r="R71" s="141"/>
      <c r="S71" s="142"/>
      <c r="T71" s="148"/>
      <c r="U71" s="381"/>
      <c r="V71" s="148"/>
      <c r="W71" s="381"/>
    </row>
    <row r="72" spans="1:23" ht="21.75" customHeight="1">
      <c r="A72" s="383"/>
      <c r="B72" s="388" t="s">
        <v>197</v>
      </c>
      <c r="C72" s="140"/>
      <c r="D72" s="384"/>
      <c r="E72" s="141"/>
      <c r="F72" s="141"/>
      <c r="G72" s="141"/>
      <c r="H72" s="141"/>
      <c r="I72" s="142"/>
      <c r="J72" s="144"/>
      <c r="K72" s="140"/>
      <c r="L72" s="141"/>
      <c r="M72" s="141"/>
      <c r="N72" s="141"/>
      <c r="O72" s="148">
        <f t="shared" si="30"/>
        <v>0</v>
      </c>
      <c r="P72" s="140"/>
      <c r="Q72" s="141"/>
      <c r="R72" s="141"/>
      <c r="S72" s="142"/>
      <c r="T72" s="148"/>
      <c r="U72" s="381"/>
      <c r="V72" s="148"/>
      <c r="W72" s="381"/>
    </row>
    <row r="73" spans="1:24" ht="51.75" customHeight="1">
      <c r="A73" s="383" t="s">
        <v>198</v>
      </c>
      <c r="B73" s="389" t="s">
        <v>199</v>
      </c>
      <c r="C73" s="140"/>
      <c r="D73" s="384"/>
      <c r="E73" s="141"/>
      <c r="F73" s="141"/>
      <c r="G73" s="141"/>
      <c r="H73" s="141"/>
      <c r="I73" s="142"/>
      <c r="J73" s="144"/>
      <c r="K73" s="140"/>
      <c r="L73" s="141"/>
      <c r="M73" s="141"/>
      <c r="N73" s="385"/>
      <c r="O73" s="148">
        <f t="shared" si="30"/>
        <v>0</v>
      </c>
      <c r="P73" s="140"/>
      <c r="Q73" s="141"/>
      <c r="R73" s="141"/>
      <c r="S73" s="390"/>
      <c r="T73" s="148">
        <f aca="true" t="shared" si="33" ref="T73:T82">SUM(P73:S73)</f>
        <v>0</v>
      </c>
      <c r="U73" s="381"/>
      <c r="V73" s="148"/>
      <c r="W73" s="381"/>
      <c r="X73" s="34" t="s">
        <v>200</v>
      </c>
    </row>
    <row r="74" spans="1:24" ht="43.5" customHeight="1">
      <c r="A74" s="383" t="s">
        <v>201</v>
      </c>
      <c r="B74" s="391" t="s">
        <v>202</v>
      </c>
      <c r="C74" s="140"/>
      <c r="D74" s="384"/>
      <c r="E74" s="141"/>
      <c r="F74" s="141"/>
      <c r="G74" s="141"/>
      <c r="H74" s="141"/>
      <c r="I74" s="142"/>
      <c r="J74" s="144"/>
      <c r="K74" s="140"/>
      <c r="L74" s="141"/>
      <c r="M74" s="141"/>
      <c r="N74" s="385"/>
      <c r="O74" s="148">
        <f t="shared" si="30"/>
        <v>0</v>
      </c>
      <c r="P74" s="140"/>
      <c r="Q74" s="141"/>
      <c r="R74" s="141"/>
      <c r="S74" s="390"/>
      <c r="T74" s="148">
        <f t="shared" si="33"/>
        <v>0</v>
      </c>
      <c r="U74" s="381"/>
      <c r="V74" s="148"/>
      <c r="W74" s="381"/>
      <c r="X74" s="34" t="s">
        <v>200</v>
      </c>
    </row>
    <row r="75" spans="1:23" ht="18" customHeight="1">
      <c r="A75" s="383" t="s">
        <v>203</v>
      </c>
      <c r="B75" s="391" t="s">
        <v>204</v>
      </c>
      <c r="C75" s="140"/>
      <c r="D75" s="384"/>
      <c r="E75" s="141"/>
      <c r="F75" s="141"/>
      <c r="G75" s="141"/>
      <c r="H75" s="141"/>
      <c r="I75" s="142"/>
      <c r="J75" s="144">
        <v>144</v>
      </c>
      <c r="K75" s="140"/>
      <c r="L75" s="141">
        <v>100</v>
      </c>
      <c r="M75" s="141">
        <v>100</v>
      </c>
      <c r="N75" s="141">
        <v>139</v>
      </c>
      <c r="O75" s="148">
        <f t="shared" si="30"/>
        <v>339</v>
      </c>
      <c r="P75" s="140"/>
      <c r="Q75" s="141"/>
      <c r="R75" s="141"/>
      <c r="S75" s="142"/>
      <c r="T75" s="148">
        <f t="shared" si="33"/>
        <v>0</v>
      </c>
      <c r="U75" s="381"/>
      <c r="V75" s="148"/>
      <c r="W75" s="381"/>
    </row>
    <row r="76" spans="1:23" ht="22.5" customHeight="1">
      <c r="A76" s="383" t="s">
        <v>205</v>
      </c>
      <c r="B76" s="391" t="s">
        <v>206</v>
      </c>
      <c r="C76" s="140"/>
      <c r="D76" s="384"/>
      <c r="E76" s="141"/>
      <c r="F76" s="141"/>
      <c r="G76" s="141"/>
      <c r="H76" s="141"/>
      <c r="I76" s="142"/>
      <c r="J76" s="144"/>
      <c r="K76" s="140"/>
      <c r="L76" s="141"/>
      <c r="M76" s="141"/>
      <c r="N76" s="141">
        <v>50</v>
      </c>
      <c r="O76" s="148">
        <f t="shared" si="30"/>
        <v>50</v>
      </c>
      <c r="P76" s="140"/>
      <c r="Q76" s="141"/>
      <c r="R76" s="141"/>
      <c r="S76" s="142"/>
      <c r="T76" s="148">
        <f t="shared" si="33"/>
        <v>0</v>
      </c>
      <c r="U76" s="381"/>
      <c r="V76" s="148"/>
      <c r="W76" s="381"/>
    </row>
    <row r="77" spans="1:23" ht="24.75" customHeight="1">
      <c r="A77" s="383" t="s">
        <v>207</v>
      </c>
      <c r="B77" s="511" t="s">
        <v>208</v>
      </c>
      <c r="C77" s="140"/>
      <c r="D77" s="384"/>
      <c r="E77" s="141"/>
      <c r="F77" s="141"/>
      <c r="G77" s="141"/>
      <c r="H77" s="141"/>
      <c r="I77" s="142"/>
      <c r="J77" s="144"/>
      <c r="K77" s="140"/>
      <c r="L77" s="141"/>
      <c r="M77" s="141"/>
      <c r="N77" s="141"/>
      <c r="O77" s="148">
        <f t="shared" si="30"/>
        <v>0</v>
      </c>
      <c r="P77" s="140"/>
      <c r="Q77" s="141"/>
      <c r="R77" s="141"/>
      <c r="S77" s="142"/>
      <c r="T77" s="148">
        <f t="shared" si="33"/>
        <v>0</v>
      </c>
      <c r="U77" s="381">
        <v>100</v>
      </c>
      <c r="V77" s="148"/>
      <c r="W77" s="381"/>
    </row>
    <row r="78" spans="1:24" ht="23.25" customHeight="1">
      <c r="A78" s="383" t="s">
        <v>209</v>
      </c>
      <c r="B78" s="393" t="s">
        <v>210</v>
      </c>
      <c r="C78" s="140"/>
      <c r="D78" s="384"/>
      <c r="E78" s="141"/>
      <c r="F78" s="141"/>
      <c r="G78" s="141"/>
      <c r="H78" s="141"/>
      <c r="I78" s="142"/>
      <c r="J78" s="144"/>
      <c r="K78" s="140"/>
      <c r="L78" s="141"/>
      <c r="M78" s="141"/>
      <c r="N78" s="141"/>
      <c r="O78" s="148">
        <f t="shared" si="30"/>
        <v>0</v>
      </c>
      <c r="P78" s="140"/>
      <c r="Q78" s="141"/>
      <c r="R78" s="141"/>
      <c r="S78" s="142">
        <v>500</v>
      </c>
      <c r="T78" s="148">
        <f t="shared" si="33"/>
        <v>500</v>
      </c>
      <c r="U78" s="381">
        <v>800</v>
      </c>
      <c r="V78" s="148">
        <v>200</v>
      </c>
      <c r="W78" s="381"/>
      <c r="X78" s="201">
        <f>SUM(T78+U78+V78)</f>
        <v>1500</v>
      </c>
    </row>
    <row r="79" spans="1:23" ht="27" customHeight="1">
      <c r="A79" s="383" t="s">
        <v>547</v>
      </c>
      <c r="B79" s="888" t="s">
        <v>544</v>
      </c>
      <c r="C79" s="140"/>
      <c r="D79" s="384"/>
      <c r="E79" s="141"/>
      <c r="F79" s="141"/>
      <c r="G79" s="141"/>
      <c r="H79" s="141"/>
      <c r="I79" s="142"/>
      <c r="J79" s="144"/>
      <c r="K79" s="140">
        <v>180</v>
      </c>
      <c r="L79" s="141">
        <v>217</v>
      </c>
      <c r="M79" s="141">
        <v>200</v>
      </c>
      <c r="N79" s="141"/>
      <c r="O79" s="148">
        <f t="shared" si="30"/>
        <v>597</v>
      </c>
      <c r="P79" s="140"/>
      <c r="Q79" s="141"/>
      <c r="R79" s="141"/>
      <c r="S79" s="142"/>
      <c r="T79" s="148">
        <f t="shared" si="33"/>
        <v>0</v>
      </c>
      <c r="U79" s="381"/>
      <c r="V79" s="148"/>
      <c r="W79" s="381"/>
    </row>
    <row r="80" spans="1:23" ht="16.5" customHeight="1">
      <c r="A80" s="383" t="s">
        <v>548</v>
      </c>
      <c r="B80" s="889" t="s">
        <v>545</v>
      </c>
      <c r="C80" s="140"/>
      <c r="D80" s="384"/>
      <c r="E80" s="141"/>
      <c r="F80" s="141"/>
      <c r="G80" s="141"/>
      <c r="H80" s="141"/>
      <c r="I80" s="142"/>
      <c r="J80" s="144"/>
      <c r="K80" s="150">
        <v>78</v>
      </c>
      <c r="L80" s="141"/>
      <c r="M80" s="141"/>
      <c r="N80" s="141"/>
      <c r="O80" s="148">
        <f t="shared" si="30"/>
        <v>78</v>
      </c>
      <c r="P80" s="140"/>
      <c r="Q80" s="141"/>
      <c r="R80" s="141"/>
      <c r="S80" s="142"/>
      <c r="T80" s="148">
        <f t="shared" si="33"/>
        <v>0</v>
      </c>
      <c r="U80" s="381"/>
      <c r="V80" s="148"/>
      <c r="W80" s="381"/>
    </row>
    <row r="81" spans="1:23" ht="16.5" customHeight="1">
      <c r="A81" s="383" t="s">
        <v>549</v>
      </c>
      <c r="B81" s="890" t="s">
        <v>546</v>
      </c>
      <c r="C81" s="140"/>
      <c r="D81" s="384"/>
      <c r="E81" s="141"/>
      <c r="F81" s="141"/>
      <c r="G81" s="141"/>
      <c r="H81" s="141"/>
      <c r="I81" s="142"/>
      <c r="J81" s="144"/>
      <c r="K81" s="140"/>
      <c r="L81" s="141"/>
      <c r="M81" s="141">
        <v>20</v>
      </c>
      <c r="N81" s="141">
        <v>80</v>
      </c>
      <c r="O81" s="148">
        <f t="shared" si="30"/>
        <v>100</v>
      </c>
      <c r="P81" s="140"/>
      <c r="Q81" s="141"/>
      <c r="R81" s="141"/>
      <c r="S81" s="142"/>
      <c r="T81" s="148">
        <f t="shared" si="33"/>
        <v>0</v>
      </c>
      <c r="U81" s="381"/>
      <c r="V81" s="148"/>
      <c r="W81" s="381"/>
    </row>
    <row r="82" spans="1:23" ht="16.5" customHeight="1">
      <c r="A82" s="383"/>
      <c r="B82" s="394"/>
      <c r="C82" s="140"/>
      <c r="D82" s="384"/>
      <c r="E82" s="141"/>
      <c r="F82" s="141"/>
      <c r="G82" s="141"/>
      <c r="H82" s="141"/>
      <c r="I82" s="142"/>
      <c r="J82" s="144"/>
      <c r="K82" s="140"/>
      <c r="L82" s="141"/>
      <c r="M82" s="141"/>
      <c r="N82" s="141"/>
      <c r="O82" s="148">
        <f t="shared" si="30"/>
        <v>0</v>
      </c>
      <c r="P82" s="140"/>
      <c r="Q82" s="141"/>
      <c r="R82" s="141"/>
      <c r="S82" s="142"/>
      <c r="T82" s="148">
        <f t="shared" si="33"/>
        <v>0</v>
      </c>
      <c r="U82" s="381"/>
      <c r="V82" s="148"/>
      <c r="W82" s="381"/>
    </row>
    <row r="83" spans="1:23" ht="16.5" customHeight="1">
      <c r="A83" s="383"/>
      <c r="B83" s="394"/>
      <c r="C83" s="140"/>
      <c r="D83" s="384"/>
      <c r="E83" s="141"/>
      <c r="F83" s="141"/>
      <c r="G83" s="141"/>
      <c r="H83" s="141"/>
      <c r="I83" s="142"/>
      <c r="J83" s="144"/>
      <c r="K83" s="140"/>
      <c r="L83" s="141"/>
      <c r="M83" s="141"/>
      <c r="N83" s="141"/>
      <c r="O83" s="148">
        <f t="shared" si="30"/>
        <v>0</v>
      </c>
      <c r="P83" s="140"/>
      <c r="Q83" s="141"/>
      <c r="R83" s="141"/>
      <c r="S83" s="142"/>
      <c r="T83" s="148"/>
      <c r="U83" s="381"/>
      <c r="V83" s="148"/>
      <c r="W83" s="381"/>
    </row>
    <row r="84" spans="1:23" ht="16.5" customHeight="1">
      <c r="A84" s="383"/>
      <c r="B84" s="394"/>
      <c r="C84" s="140"/>
      <c r="D84" s="384"/>
      <c r="E84" s="141"/>
      <c r="F84" s="141"/>
      <c r="G84" s="141"/>
      <c r="H84" s="141"/>
      <c r="I84" s="142"/>
      <c r="J84" s="144"/>
      <c r="K84" s="140"/>
      <c r="L84" s="141"/>
      <c r="M84" s="141"/>
      <c r="N84" s="141"/>
      <c r="O84" s="148">
        <f t="shared" si="30"/>
        <v>0</v>
      </c>
      <c r="P84" s="140"/>
      <c r="Q84" s="141"/>
      <c r="R84" s="141"/>
      <c r="S84" s="142"/>
      <c r="T84" s="148">
        <f>SUM(P84:S84)</f>
        <v>0</v>
      </c>
      <c r="U84" s="381"/>
      <c r="V84" s="148"/>
      <c r="W84" s="381"/>
    </row>
    <row r="85" spans="1:23" ht="16.5" customHeight="1">
      <c r="A85" s="383"/>
      <c r="B85" s="394"/>
      <c r="C85" s="140"/>
      <c r="D85" s="384"/>
      <c r="E85" s="141"/>
      <c r="F85" s="141"/>
      <c r="G85" s="141"/>
      <c r="H85" s="141"/>
      <c r="I85" s="142"/>
      <c r="J85" s="144"/>
      <c r="K85" s="140"/>
      <c r="L85" s="141"/>
      <c r="M85" s="141"/>
      <c r="N85" s="141"/>
      <c r="O85" s="148">
        <f t="shared" si="30"/>
        <v>0</v>
      </c>
      <c r="P85" s="140"/>
      <c r="Q85" s="141"/>
      <c r="R85" s="141"/>
      <c r="S85" s="142"/>
      <c r="T85" s="148">
        <f>SUM(P85:S85)</f>
        <v>0</v>
      </c>
      <c r="U85" s="381"/>
      <c r="V85" s="148"/>
      <c r="W85" s="381"/>
    </row>
    <row r="86" spans="1:23" s="150" customFormat="1" ht="16.5" customHeight="1">
      <c r="A86" s="395" t="s">
        <v>45</v>
      </c>
      <c r="B86" s="396" t="s">
        <v>44</v>
      </c>
      <c r="C86" s="127"/>
      <c r="D86" s="397"/>
      <c r="E86" s="128" t="e">
        <f>#REF!+#REF!+#REF!+#REF!+#REF!</f>
        <v>#REF!</v>
      </c>
      <c r="F86" s="128" t="e">
        <f>#REF!+#REF!+#REF!+#REF!+#REF!</f>
        <v>#REF!</v>
      </c>
      <c r="G86" s="128" t="e">
        <f>#REF!+#REF!+#REF!+#REF!+#REF!</f>
        <v>#REF!</v>
      </c>
      <c r="H86" s="128" t="e">
        <f>#REF!+#REF!+#REF!+#REF!+#REF!</f>
        <v>#REF!</v>
      </c>
      <c r="I86" s="134" t="e">
        <f>#REF!+#REF!+#REF!+#REF!+#REF!</f>
        <v>#REF!</v>
      </c>
      <c r="J86" s="131"/>
      <c r="K86" s="131">
        <f>SUM(K87:K89)</f>
        <v>2</v>
      </c>
      <c r="L86" s="131">
        <f>SUM(L87:L89)</f>
        <v>217</v>
      </c>
      <c r="M86" s="131">
        <f>SUM(M87:M89)</f>
        <v>0</v>
      </c>
      <c r="N86" s="131">
        <f>SUM(N87:N89)</f>
        <v>44</v>
      </c>
      <c r="O86" s="131">
        <f>SUM(K86:N86)</f>
        <v>263</v>
      </c>
      <c r="P86" s="131">
        <f>SUM(P87:P89)</f>
        <v>0</v>
      </c>
      <c r="Q86" s="131">
        <f>SUM(Q87:Q89)</f>
        <v>0</v>
      </c>
      <c r="R86" s="131">
        <f>SUM(R87:R89)</f>
        <v>0</v>
      </c>
      <c r="S86" s="131">
        <f>SUM(S87:S89)</f>
        <v>200</v>
      </c>
      <c r="T86" s="131">
        <f>SUM(P86:S86)</f>
        <v>200</v>
      </c>
      <c r="U86" s="131">
        <f>SUM(U87:U89)</f>
        <v>200</v>
      </c>
      <c r="V86" s="131">
        <f>SUM(V87:V89)</f>
        <v>250</v>
      </c>
      <c r="W86" s="131">
        <f>SUM(W87:W89)</f>
        <v>200</v>
      </c>
    </row>
    <row r="87" spans="1:23" ht="16.5" customHeight="1">
      <c r="A87" s="398" t="s">
        <v>211</v>
      </c>
      <c r="B87" s="399" t="s">
        <v>212</v>
      </c>
      <c r="C87" s="140"/>
      <c r="D87" s="384"/>
      <c r="E87" s="141"/>
      <c r="F87" s="141"/>
      <c r="G87" s="141"/>
      <c r="H87" s="141"/>
      <c r="I87" s="142"/>
      <c r="J87" s="144"/>
      <c r="K87" s="140"/>
      <c r="L87" s="141">
        <v>212</v>
      </c>
      <c r="M87" s="141"/>
      <c r="N87" s="141">
        <v>44</v>
      </c>
      <c r="O87" s="148">
        <f>SUM(K87:N87)</f>
        <v>256</v>
      </c>
      <c r="P87" s="140"/>
      <c r="Q87" s="141"/>
      <c r="R87" s="141"/>
      <c r="S87" s="142">
        <v>200</v>
      </c>
      <c r="T87" s="148">
        <f>SUM(P87:S87)</f>
        <v>200</v>
      </c>
      <c r="U87" s="381">
        <v>200</v>
      </c>
      <c r="V87" s="148">
        <v>200</v>
      </c>
      <c r="W87" s="381">
        <v>200</v>
      </c>
    </row>
    <row r="88" spans="1:23" ht="22.5" customHeight="1">
      <c r="A88" s="400" t="s">
        <v>50</v>
      </c>
      <c r="B88" s="379" t="s">
        <v>213</v>
      </c>
      <c r="C88" s="140"/>
      <c r="D88" s="384"/>
      <c r="E88" s="141"/>
      <c r="F88" s="141"/>
      <c r="G88" s="141"/>
      <c r="H88" s="141"/>
      <c r="I88" s="142"/>
      <c r="J88" s="144"/>
      <c r="K88" s="140"/>
      <c r="L88" s="141"/>
      <c r="M88" s="141"/>
      <c r="N88" s="141"/>
      <c r="O88" s="148">
        <f>SUM(K88:N88)</f>
        <v>0</v>
      </c>
      <c r="P88" s="140"/>
      <c r="Q88" s="141"/>
      <c r="R88" s="141"/>
      <c r="S88" s="142"/>
      <c r="T88" s="148">
        <f>SUM(P88:S88)</f>
        <v>0</v>
      </c>
      <c r="U88" s="381"/>
      <c r="V88" s="148">
        <v>50</v>
      </c>
      <c r="W88" s="381"/>
    </row>
    <row r="89" spans="1:23" ht="17.25" customHeight="1">
      <c r="A89" s="400" t="s">
        <v>51</v>
      </c>
      <c r="B89" s="379" t="s">
        <v>214</v>
      </c>
      <c r="C89" s="140"/>
      <c r="D89" s="384"/>
      <c r="E89" s="141"/>
      <c r="F89" s="141"/>
      <c r="G89" s="141"/>
      <c r="H89" s="141"/>
      <c r="I89" s="142"/>
      <c r="J89" s="144"/>
      <c r="K89" s="140">
        <v>2</v>
      </c>
      <c r="L89" s="141">
        <v>5</v>
      </c>
      <c r="M89" s="141"/>
      <c r="N89" s="141"/>
      <c r="O89" s="148">
        <f>SUM(K89:N89)</f>
        <v>7</v>
      </c>
      <c r="P89" s="140"/>
      <c r="Q89" s="141"/>
      <c r="R89" s="141"/>
      <c r="S89" s="142"/>
      <c r="T89" s="148"/>
      <c r="U89" s="381"/>
      <c r="V89" s="148"/>
      <c r="W89" s="381"/>
    </row>
    <row r="90" spans="2:23" s="150" customFormat="1" ht="14.25" customHeight="1">
      <c r="B90" s="401"/>
      <c r="C90" s="140"/>
      <c r="D90" s="384"/>
      <c r="E90" s="141"/>
      <c r="F90" s="141"/>
      <c r="G90" s="141"/>
      <c r="H90" s="141"/>
      <c r="I90" s="142"/>
      <c r="J90" s="144"/>
      <c r="L90" s="141"/>
      <c r="M90" s="141"/>
      <c r="N90" s="402"/>
      <c r="O90" s="148">
        <f>SUM(K90:N90)</f>
        <v>0</v>
      </c>
      <c r="P90" s="402"/>
      <c r="Q90" s="141"/>
      <c r="R90" s="141"/>
      <c r="S90" s="402"/>
      <c r="T90" s="148"/>
      <c r="U90" s="381"/>
      <c r="V90" s="381"/>
      <c r="W90" s="381"/>
    </row>
    <row r="91" spans="1:23" ht="18" customHeight="1">
      <c r="A91" s="395" t="s">
        <v>48</v>
      </c>
      <c r="B91" s="396" t="s">
        <v>46</v>
      </c>
      <c r="C91" s="127"/>
      <c r="D91" s="397"/>
      <c r="E91" s="128" t="e">
        <f>#REF!+#REF!+#REF!+#REF!+#REF!</f>
        <v>#REF!</v>
      </c>
      <c r="F91" s="128" t="e">
        <f>#REF!+#REF!+#REF!+#REF!+#REF!</f>
        <v>#REF!</v>
      </c>
      <c r="G91" s="128" t="e">
        <f>#REF!+#REF!+#REF!+#REF!+#REF!</f>
        <v>#REF!</v>
      </c>
      <c r="H91" s="128" t="e">
        <f>#REF!+#REF!+#REF!+#REF!+#REF!</f>
        <v>#REF!</v>
      </c>
      <c r="I91" s="134" t="e">
        <f>#REF!+#REF!+#REF!+#REF!+#REF!</f>
        <v>#REF!</v>
      </c>
      <c r="J91" s="131">
        <f>J92+J97+J103+J120</f>
        <v>4</v>
      </c>
      <c r="K91" s="131">
        <f>K92+K97+K103+K120</f>
        <v>16</v>
      </c>
      <c r="L91" s="131">
        <f>L92+L97+L103+L120</f>
        <v>117</v>
      </c>
      <c r="M91" s="131">
        <f>M92+M97+M103+M120</f>
        <v>469</v>
      </c>
      <c r="N91" s="131">
        <f>N92+N97+N103+N120</f>
        <v>403</v>
      </c>
      <c r="O91" s="131">
        <f aca="true" t="shared" si="34" ref="O91:O132">SUM(K91:N91)</f>
        <v>1005</v>
      </c>
      <c r="P91" s="131">
        <f>P92+P97+P103+P120</f>
        <v>130</v>
      </c>
      <c r="Q91" s="131">
        <f>Q92+Q97+Q103+Q120</f>
        <v>640</v>
      </c>
      <c r="R91" s="131">
        <f>R92+R97+R103+R120</f>
        <v>890</v>
      </c>
      <c r="S91" s="131">
        <f>S92+S97+S103+S120</f>
        <v>625</v>
      </c>
      <c r="T91" s="131">
        <f aca="true" t="shared" si="35" ref="T91:T102">SUM(P91:S91)</f>
        <v>2285</v>
      </c>
      <c r="U91" s="131">
        <f>U92+U97+U103+U120</f>
        <v>2170</v>
      </c>
      <c r="V91" s="377">
        <f>V92+V97+V103+V120</f>
        <v>2060</v>
      </c>
      <c r="W91" s="377">
        <f>W92+W97+W103+W120</f>
        <v>2520</v>
      </c>
    </row>
    <row r="92" spans="1:23" s="193" customFormat="1" ht="18" customHeight="1">
      <c r="A92" s="403" t="s">
        <v>49</v>
      </c>
      <c r="B92" s="404" t="s">
        <v>215</v>
      </c>
      <c r="C92" s="189"/>
      <c r="D92" s="405"/>
      <c r="E92" s="190"/>
      <c r="F92" s="190"/>
      <c r="G92" s="190"/>
      <c r="H92" s="190"/>
      <c r="I92" s="406"/>
      <c r="J92" s="407"/>
      <c r="K92" s="408">
        <f>SUM(K93:K96)</f>
        <v>15</v>
      </c>
      <c r="L92" s="408">
        <f>SUM(L93:L96)</f>
        <v>49</v>
      </c>
      <c r="M92" s="408">
        <f>SUM(M93:M96)</f>
        <v>41</v>
      </c>
      <c r="N92" s="408">
        <f>SUM(N93:N96)</f>
        <v>25</v>
      </c>
      <c r="O92" s="409">
        <f t="shared" si="34"/>
        <v>130</v>
      </c>
      <c r="P92" s="410">
        <f>SUM(P93:P96)</f>
        <v>15</v>
      </c>
      <c r="Q92" s="410">
        <f>SUM(Q93:Q96)</f>
        <v>145</v>
      </c>
      <c r="R92" s="410">
        <f>SUM(R93:R96)</f>
        <v>135</v>
      </c>
      <c r="S92" s="410">
        <f>SUM(S93:S96)</f>
        <v>115</v>
      </c>
      <c r="T92" s="409">
        <f t="shared" si="35"/>
        <v>410</v>
      </c>
      <c r="U92" s="409">
        <f>SUM(U93:U96)</f>
        <v>970</v>
      </c>
      <c r="V92" s="409">
        <f>SUM(V93:V96)</f>
        <v>660</v>
      </c>
      <c r="W92" s="409">
        <f>SUM(W93:W96)</f>
        <v>560</v>
      </c>
    </row>
    <row r="93" spans="1:23" s="150" customFormat="1" ht="18" customHeight="1">
      <c r="A93" s="400" t="s">
        <v>216</v>
      </c>
      <c r="B93" s="411" t="s">
        <v>217</v>
      </c>
      <c r="C93" s="140"/>
      <c r="D93" s="384"/>
      <c r="E93" s="141"/>
      <c r="F93" s="141"/>
      <c r="G93" s="141"/>
      <c r="H93" s="141"/>
      <c r="I93" s="142"/>
      <c r="J93" s="144"/>
      <c r="K93" s="140">
        <v>15</v>
      </c>
      <c r="L93" s="141">
        <v>35</v>
      </c>
      <c r="M93" s="141">
        <v>35</v>
      </c>
      <c r="N93" s="141">
        <v>15</v>
      </c>
      <c r="O93" s="148">
        <f t="shared" si="34"/>
        <v>100</v>
      </c>
      <c r="P93" s="140">
        <v>15</v>
      </c>
      <c r="Q93" s="141">
        <v>35</v>
      </c>
      <c r="R93" s="141">
        <v>35</v>
      </c>
      <c r="S93" s="141">
        <v>15</v>
      </c>
      <c r="T93" s="148">
        <f t="shared" si="35"/>
        <v>100</v>
      </c>
      <c r="U93" s="148">
        <v>150</v>
      </c>
      <c r="V93" s="148">
        <v>150</v>
      </c>
      <c r="W93" s="148">
        <v>150</v>
      </c>
    </row>
    <row r="94" spans="1:23" s="150" customFormat="1" ht="24.75" customHeight="1">
      <c r="A94" s="400" t="s">
        <v>218</v>
      </c>
      <c r="B94" s="412" t="s">
        <v>219</v>
      </c>
      <c r="C94" s="140"/>
      <c r="D94" s="384"/>
      <c r="E94" s="141"/>
      <c r="F94" s="141"/>
      <c r="G94" s="141"/>
      <c r="H94" s="141"/>
      <c r="I94" s="142"/>
      <c r="J94" s="144"/>
      <c r="K94" s="140"/>
      <c r="L94" s="141">
        <v>14</v>
      </c>
      <c r="M94" s="141">
        <v>6</v>
      </c>
      <c r="N94" s="141">
        <v>10</v>
      </c>
      <c r="O94" s="148">
        <f t="shared" si="34"/>
        <v>30</v>
      </c>
      <c r="P94" s="141"/>
      <c r="Q94" s="141">
        <v>10</v>
      </c>
      <c r="R94" s="141"/>
      <c r="S94" s="141"/>
      <c r="T94" s="148">
        <f t="shared" si="35"/>
        <v>10</v>
      </c>
      <c r="U94" s="148">
        <v>10</v>
      </c>
      <c r="V94" s="148">
        <v>10</v>
      </c>
      <c r="W94" s="148">
        <v>10</v>
      </c>
    </row>
    <row r="95" spans="1:23" s="150" customFormat="1" ht="18" customHeight="1">
      <c r="A95" s="400" t="s">
        <v>220</v>
      </c>
      <c r="B95" s="413" t="s">
        <v>221</v>
      </c>
      <c r="C95" s="140"/>
      <c r="D95" s="384"/>
      <c r="E95" s="141"/>
      <c r="F95" s="141"/>
      <c r="G95" s="141"/>
      <c r="H95" s="141"/>
      <c r="I95" s="142"/>
      <c r="J95" s="144"/>
      <c r="K95" s="140"/>
      <c r="L95" s="141"/>
      <c r="M95" s="141"/>
      <c r="N95" s="141"/>
      <c r="O95" s="148">
        <f t="shared" si="34"/>
        <v>0</v>
      </c>
      <c r="P95" s="141"/>
      <c r="Q95" s="141"/>
      <c r="R95" s="141"/>
      <c r="S95" s="141"/>
      <c r="T95" s="148">
        <f t="shared" si="35"/>
        <v>0</v>
      </c>
      <c r="U95" s="148">
        <v>210</v>
      </c>
      <c r="V95" s="148"/>
      <c r="W95" s="148"/>
    </row>
    <row r="96" spans="1:23" s="150" customFormat="1" ht="18" customHeight="1">
      <c r="A96" s="400" t="s">
        <v>222</v>
      </c>
      <c r="B96" s="414" t="s">
        <v>223</v>
      </c>
      <c r="C96" s="140"/>
      <c r="D96" s="384"/>
      <c r="E96" s="141"/>
      <c r="F96" s="141"/>
      <c r="G96" s="141"/>
      <c r="H96" s="141"/>
      <c r="I96" s="142"/>
      <c r="J96" s="144"/>
      <c r="K96" s="140"/>
      <c r="L96" s="141"/>
      <c r="M96" s="141"/>
      <c r="N96" s="141"/>
      <c r="O96" s="148">
        <f t="shared" si="34"/>
        <v>0</v>
      </c>
      <c r="P96" s="141"/>
      <c r="Q96" s="141">
        <v>100</v>
      </c>
      <c r="R96" s="141">
        <v>100</v>
      </c>
      <c r="S96" s="141">
        <v>100</v>
      </c>
      <c r="T96" s="148">
        <f t="shared" si="35"/>
        <v>300</v>
      </c>
      <c r="U96" s="148">
        <v>600</v>
      </c>
      <c r="V96" s="148">
        <v>500</v>
      </c>
      <c r="W96" s="148">
        <v>400</v>
      </c>
    </row>
    <row r="97" spans="1:23" s="150" customFormat="1" ht="18" customHeight="1">
      <c r="A97" s="415" t="s">
        <v>224</v>
      </c>
      <c r="B97" s="404" t="s">
        <v>225</v>
      </c>
      <c r="C97" s="408"/>
      <c r="D97" s="416"/>
      <c r="E97" s="410"/>
      <c r="F97" s="410"/>
      <c r="G97" s="410"/>
      <c r="H97" s="410"/>
      <c r="I97" s="417"/>
      <c r="J97" s="408">
        <f>SUM(J98:J101)</f>
        <v>4</v>
      </c>
      <c r="K97" s="408">
        <f>SUM(K98:K101)</f>
        <v>1</v>
      </c>
      <c r="L97" s="408">
        <f>SUM(L98:L101)</f>
        <v>15</v>
      </c>
      <c r="M97" s="408">
        <f>SUM(M98:M101)</f>
        <v>35</v>
      </c>
      <c r="N97" s="408">
        <f>SUM(N98:N101)</f>
        <v>145</v>
      </c>
      <c r="O97" s="409">
        <f t="shared" si="34"/>
        <v>196</v>
      </c>
      <c r="P97" s="410">
        <f>SUM(P98:P101)</f>
        <v>100</v>
      </c>
      <c r="Q97" s="410">
        <f>SUM(Q98:Q101)</f>
        <v>200</v>
      </c>
      <c r="R97" s="410">
        <f>SUM(R98:R101)</f>
        <v>300</v>
      </c>
      <c r="S97" s="410">
        <f>SUM(S98:S101)</f>
        <v>245</v>
      </c>
      <c r="T97" s="409">
        <f t="shared" si="35"/>
        <v>845</v>
      </c>
      <c r="U97" s="409">
        <f>SUM(U98:U101)</f>
        <v>390</v>
      </c>
      <c r="V97" s="409">
        <f>SUM(V98:V101)</f>
        <v>620</v>
      </c>
      <c r="W97" s="409">
        <f>SUM(W98:W101)</f>
        <v>610</v>
      </c>
    </row>
    <row r="98" spans="1:23" ht="21.75" customHeight="1">
      <c r="A98" s="400" t="s">
        <v>226</v>
      </c>
      <c r="B98" s="195" t="s">
        <v>227</v>
      </c>
      <c r="C98" s="418"/>
      <c r="D98" s="419"/>
      <c r="E98" s="420"/>
      <c r="F98" s="420"/>
      <c r="G98" s="420"/>
      <c r="H98" s="420"/>
      <c r="I98" s="421"/>
      <c r="J98" s="422">
        <v>4</v>
      </c>
      <c r="K98" s="140"/>
      <c r="L98" s="141">
        <v>4</v>
      </c>
      <c r="M98" s="141">
        <v>30</v>
      </c>
      <c r="N98" s="141">
        <v>42</v>
      </c>
      <c r="O98" s="148">
        <f t="shared" si="34"/>
        <v>76</v>
      </c>
      <c r="P98" s="141"/>
      <c r="Q98" s="141"/>
      <c r="R98" s="141"/>
      <c r="S98" s="141"/>
      <c r="T98" s="148">
        <f t="shared" si="35"/>
        <v>0</v>
      </c>
      <c r="U98" s="148"/>
      <c r="V98" s="148"/>
      <c r="W98" s="148"/>
    </row>
    <row r="99" spans="1:23" ht="64.5" customHeight="1">
      <c r="A99" s="400" t="s">
        <v>228</v>
      </c>
      <c r="B99" s="411" t="s">
        <v>229</v>
      </c>
      <c r="C99" s="418"/>
      <c r="D99" s="419"/>
      <c r="E99" s="420"/>
      <c r="F99" s="420"/>
      <c r="G99" s="420"/>
      <c r="H99" s="420"/>
      <c r="I99" s="421"/>
      <c r="J99" s="422"/>
      <c r="K99" s="140">
        <v>1</v>
      </c>
      <c r="L99" s="141">
        <v>11</v>
      </c>
      <c r="M99" s="141">
        <v>5</v>
      </c>
      <c r="N99" s="141">
        <v>3</v>
      </c>
      <c r="O99" s="148">
        <f t="shared" si="34"/>
        <v>20</v>
      </c>
      <c r="P99" s="141"/>
      <c r="Q99" s="141"/>
      <c r="R99" s="141"/>
      <c r="S99" s="141">
        <v>15</v>
      </c>
      <c r="T99" s="148">
        <f t="shared" si="35"/>
        <v>15</v>
      </c>
      <c r="U99" s="148">
        <v>10</v>
      </c>
      <c r="V99" s="148">
        <v>10</v>
      </c>
      <c r="W99" s="148">
        <v>10</v>
      </c>
    </row>
    <row r="100" spans="1:23" ht="21.75" customHeight="1">
      <c r="A100" s="400" t="s">
        <v>230</v>
      </c>
      <c r="B100" s="379" t="s">
        <v>231</v>
      </c>
      <c r="C100" s="418"/>
      <c r="D100" s="419"/>
      <c r="E100" s="420"/>
      <c r="F100" s="420"/>
      <c r="G100" s="420"/>
      <c r="H100" s="420"/>
      <c r="I100" s="421"/>
      <c r="J100" s="422"/>
      <c r="K100" s="140"/>
      <c r="L100" s="141"/>
      <c r="M100" s="141"/>
      <c r="N100" s="141"/>
      <c r="O100" s="148">
        <f t="shared" si="34"/>
        <v>0</v>
      </c>
      <c r="P100" s="141">
        <v>100</v>
      </c>
      <c r="Q100" s="141">
        <v>200</v>
      </c>
      <c r="R100" s="141">
        <v>200</v>
      </c>
      <c r="S100" s="141">
        <v>230</v>
      </c>
      <c r="T100" s="148">
        <f t="shared" si="35"/>
        <v>730</v>
      </c>
      <c r="U100" s="148">
        <v>380</v>
      </c>
      <c r="V100" s="148">
        <v>610</v>
      </c>
      <c r="W100" s="148">
        <v>600</v>
      </c>
    </row>
    <row r="101" spans="1:23" ht="45" customHeight="1">
      <c r="A101" s="400" t="s">
        <v>232</v>
      </c>
      <c r="B101" s="423" t="s">
        <v>233</v>
      </c>
      <c r="C101" s="418"/>
      <c r="D101" s="419"/>
      <c r="E101" s="420"/>
      <c r="F101" s="420"/>
      <c r="G101" s="420"/>
      <c r="H101" s="420"/>
      <c r="I101" s="421"/>
      <c r="J101" s="422"/>
      <c r="K101" s="140"/>
      <c r="L101" s="141"/>
      <c r="M101" s="141"/>
      <c r="N101" s="141">
        <v>100</v>
      </c>
      <c r="O101" s="148">
        <f t="shared" si="34"/>
        <v>100</v>
      </c>
      <c r="P101" s="141"/>
      <c r="Q101" s="141"/>
      <c r="R101" s="141">
        <v>100</v>
      </c>
      <c r="S101" s="141"/>
      <c r="T101" s="148">
        <f t="shared" si="35"/>
        <v>100</v>
      </c>
      <c r="U101" s="148"/>
      <c r="V101" s="148"/>
      <c r="W101" s="148"/>
    </row>
    <row r="102" spans="1:23" ht="12.75" customHeight="1">
      <c r="A102" s="424"/>
      <c r="B102" s="392"/>
      <c r="C102" s="418"/>
      <c r="D102" s="419"/>
      <c r="E102" s="420"/>
      <c r="F102" s="420"/>
      <c r="G102" s="420"/>
      <c r="H102" s="420"/>
      <c r="I102" s="421"/>
      <c r="J102" s="422"/>
      <c r="L102" s="141"/>
      <c r="M102" s="141"/>
      <c r="N102" s="141"/>
      <c r="O102" s="148">
        <f t="shared" si="34"/>
        <v>0</v>
      </c>
      <c r="Q102" s="141"/>
      <c r="R102" s="141"/>
      <c r="S102" s="141"/>
      <c r="T102" s="148">
        <f t="shared" si="35"/>
        <v>0</v>
      </c>
      <c r="V102" s="148"/>
      <c r="W102" s="148"/>
    </row>
    <row r="103" spans="1:24" ht="12.75" customHeight="1">
      <c r="A103" s="415" t="s">
        <v>234</v>
      </c>
      <c r="B103" s="404" t="s">
        <v>235</v>
      </c>
      <c r="C103" s="418"/>
      <c r="D103" s="419"/>
      <c r="E103" s="420"/>
      <c r="F103" s="420"/>
      <c r="G103" s="420"/>
      <c r="H103" s="420"/>
      <c r="I103" s="421"/>
      <c r="J103" s="425"/>
      <c r="K103" s="408">
        <f>SUM(K104:K114)+K116+K117+K118+K119</f>
        <v>0</v>
      </c>
      <c r="L103" s="408">
        <f aca="true" t="shared" si="36" ref="L103:W103">SUM(L104:L114)+L116+L117+L118+L119</f>
        <v>53</v>
      </c>
      <c r="M103" s="408">
        <f t="shared" si="36"/>
        <v>393</v>
      </c>
      <c r="N103" s="408">
        <f t="shared" si="36"/>
        <v>183</v>
      </c>
      <c r="O103" s="409">
        <f t="shared" si="36"/>
        <v>629</v>
      </c>
      <c r="P103" s="410">
        <f t="shared" si="36"/>
        <v>15</v>
      </c>
      <c r="Q103" s="410">
        <f t="shared" si="36"/>
        <v>220</v>
      </c>
      <c r="R103" s="410">
        <f t="shared" si="36"/>
        <v>430</v>
      </c>
      <c r="S103" s="410">
        <f t="shared" si="36"/>
        <v>265</v>
      </c>
      <c r="T103" s="409">
        <f t="shared" si="36"/>
        <v>930</v>
      </c>
      <c r="U103" s="409">
        <f t="shared" si="36"/>
        <v>710</v>
      </c>
      <c r="V103" s="409">
        <f t="shared" si="36"/>
        <v>680</v>
      </c>
      <c r="W103" s="409">
        <f t="shared" si="36"/>
        <v>1250</v>
      </c>
      <c r="X103" s="201">
        <f>SUM(O103+T103+U103+V103+W103)</f>
        <v>4199</v>
      </c>
    </row>
    <row r="104" spans="1:23" ht="12.75" customHeight="1">
      <c r="A104" s="400" t="s">
        <v>236</v>
      </c>
      <c r="B104" s="379" t="s">
        <v>237</v>
      </c>
      <c r="C104" s="426"/>
      <c r="D104" s="419"/>
      <c r="E104" s="174"/>
      <c r="F104" s="174"/>
      <c r="G104" s="174"/>
      <c r="H104" s="174"/>
      <c r="I104" s="427"/>
      <c r="J104" s="392"/>
      <c r="K104" s="140"/>
      <c r="L104" s="141"/>
      <c r="M104" s="141"/>
      <c r="N104" s="141"/>
      <c r="O104" s="148">
        <f t="shared" si="34"/>
        <v>0</v>
      </c>
      <c r="P104" s="141"/>
      <c r="Q104" s="141">
        <v>10</v>
      </c>
      <c r="R104" s="141">
        <v>10</v>
      </c>
      <c r="S104" s="141">
        <v>10</v>
      </c>
      <c r="T104" s="148">
        <f aca="true" t="shared" si="37" ref="T104:T109">SUM(P104:S104)</f>
        <v>30</v>
      </c>
      <c r="U104" s="148">
        <v>30</v>
      </c>
      <c r="V104" s="148">
        <v>30</v>
      </c>
      <c r="W104" s="148">
        <v>50</v>
      </c>
    </row>
    <row r="105" spans="1:23" ht="12.75" customHeight="1">
      <c r="A105" s="400" t="s">
        <v>238</v>
      </c>
      <c r="B105" s="411" t="s">
        <v>217</v>
      </c>
      <c r="C105" s="426"/>
      <c r="D105" s="419"/>
      <c r="E105" s="174"/>
      <c r="F105" s="174"/>
      <c r="G105" s="174"/>
      <c r="H105" s="174"/>
      <c r="I105" s="427"/>
      <c r="J105" s="392"/>
      <c r="K105" s="140"/>
      <c r="L105" s="141">
        <v>3</v>
      </c>
      <c r="M105" s="141">
        <v>3</v>
      </c>
      <c r="N105" s="141">
        <v>3</v>
      </c>
      <c r="O105" s="148">
        <f t="shared" si="34"/>
        <v>9</v>
      </c>
      <c r="P105" s="141">
        <v>5</v>
      </c>
      <c r="Q105" s="141">
        <v>5</v>
      </c>
      <c r="R105" s="141">
        <v>5</v>
      </c>
      <c r="S105" s="141">
        <v>5</v>
      </c>
      <c r="T105" s="148">
        <f t="shared" si="37"/>
        <v>20</v>
      </c>
      <c r="U105" s="148">
        <v>20</v>
      </c>
      <c r="V105" s="148">
        <v>20</v>
      </c>
      <c r="W105" s="148">
        <v>20</v>
      </c>
    </row>
    <row r="106" spans="1:23" ht="23.25" customHeight="1">
      <c r="A106" s="400" t="s">
        <v>239</v>
      </c>
      <c r="B106" s="379" t="s">
        <v>240</v>
      </c>
      <c r="C106" s="426"/>
      <c r="D106" s="419"/>
      <c r="E106" s="174"/>
      <c r="F106" s="174"/>
      <c r="G106" s="174"/>
      <c r="H106" s="174"/>
      <c r="I106" s="427"/>
      <c r="J106" s="392"/>
      <c r="K106" s="140"/>
      <c r="L106" s="141"/>
      <c r="M106" s="141">
        <v>10</v>
      </c>
      <c r="N106" s="141">
        <v>10</v>
      </c>
      <c r="O106" s="148">
        <f t="shared" si="34"/>
        <v>20</v>
      </c>
      <c r="P106" s="141"/>
      <c r="Q106" s="141">
        <v>5</v>
      </c>
      <c r="R106" s="141">
        <v>5</v>
      </c>
      <c r="S106" s="141"/>
      <c r="T106" s="148">
        <f t="shared" si="37"/>
        <v>10</v>
      </c>
      <c r="U106" s="148">
        <v>10</v>
      </c>
      <c r="V106" s="148">
        <v>10</v>
      </c>
      <c r="W106" s="148">
        <v>10</v>
      </c>
    </row>
    <row r="107" spans="1:23" ht="12.75" customHeight="1">
      <c r="A107" s="400" t="s">
        <v>241</v>
      </c>
      <c r="B107" s="379" t="s">
        <v>242</v>
      </c>
      <c r="C107" s="426"/>
      <c r="D107" s="419"/>
      <c r="E107" s="174"/>
      <c r="F107" s="174"/>
      <c r="G107" s="174"/>
      <c r="H107" s="174"/>
      <c r="I107" s="427"/>
      <c r="J107" s="392"/>
      <c r="K107" s="140"/>
      <c r="L107" s="141"/>
      <c r="M107" s="141"/>
      <c r="N107" s="141"/>
      <c r="O107" s="148">
        <f t="shared" si="34"/>
        <v>0</v>
      </c>
      <c r="P107" s="141"/>
      <c r="Q107" s="141"/>
      <c r="R107" s="141"/>
      <c r="S107" s="141"/>
      <c r="T107" s="148"/>
      <c r="U107" s="148"/>
      <c r="V107" s="148"/>
      <c r="W107" s="148"/>
    </row>
    <row r="108" spans="1:23" ht="12.75" customHeight="1">
      <c r="A108" s="400" t="s">
        <v>243</v>
      </c>
      <c r="B108" s="428" t="s">
        <v>244</v>
      </c>
      <c r="C108" s="426"/>
      <c r="D108" s="419"/>
      <c r="E108" s="174"/>
      <c r="F108" s="174"/>
      <c r="G108" s="174"/>
      <c r="H108" s="174"/>
      <c r="I108" s="427"/>
      <c r="J108" s="392"/>
      <c r="K108" s="140"/>
      <c r="L108" s="141"/>
      <c r="M108" s="141"/>
      <c r="N108" s="141"/>
      <c r="O108" s="148">
        <f t="shared" si="34"/>
        <v>0</v>
      </c>
      <c r="P108" s="141">
        <v>10</v>
      </c>
      <c r="Q108" s="141">
        <v>10</v>
      </c>
      <c r="R108" s="141">
        <v>10</v>
      </c>
      <c r="S108" s="141">
        <v>10</v>
      </c>
      <c r="T108" s="148">
        <f t="shared" si="37"/>
        <v>40</v>
      </c>
      <c r="U108" s="148">
        <v>50</v>
      </c>
      <c r="V108" s="148">
        <v>40</v>
      </c>
      <c r="W108" s="148">
        <v>50</v>
      </c>
    </row>
    <row r="109" spans="1:23" ht="12.75" customHeight="1">
      <c r="A109" s="429" t="s">
        <v>245</v>
      </c>
      <c r="B109" s="430" t="s">
        <v>246</v>
      </c>
      <c r="C109" s="426"/>
      <c r="D109" s="419"/>
      <c r="E109" s="174"/>
      <c r="F109" s="174"/>
      <c r="G109" s="174"/>
      <c r="H109" s="174"/>
      <c r="I109" s="427"/>
      <c r="J109" s="392"/>
      <c r="K109" s="140"/>
      <c r="L109" s="141"/>
      <c r="M109" s="141"/>
      <c r="N109" s="141"/>
      <c r="O109" s="148">
        <f t="shared" si="34"/>
        <v>0</v>
      </c>
      <c r="P109" s="141"/>
      <c r="Q109" s="141">
        <v>50</v>
      </c>
      <c r="R109" s="141">
        <v>150</v>
      </c>
      <c r="S109" s="141"/>
      <c r="T109" s="148">
        <f t="shared" si="37"/>
        <v>200</v>
      </c>
      <c r="U109" s="148">
        <v>200</v>
      </c>
      <c r="V109" s="148">
        <v>200</v>
      </c>
      <c r="W109" s="148">
        <v>200</v>
      </c>
    </row>
    <row r="110" spans="1:23" ht="12.75" customHeight="1">
      <c r="A110" s="400" t="s">
        <v>247</v>
      </c>
      <c r="B110" s="399" t="s">
        <v>248</v>
      </c>
      <c r="C110" s="426"/>
      <c r="D110" s="419"/>
      <c r="E110" s="174"/>
      <c r="F110" s="174"/>
      <c r="G110" s="174"/>
      <c r="H110" s="174"/>
      <c r="I110" s="427"/>
      <c r="J110" s="392"/>
      <c r="K110" s="140"/>
      <c r="L110" s="141"/>
      <c r="M110" s="141"/>
      <c r="N110" s="141"/>
      <c r="O110" s="148">
        <f t="shared" si="34"/>
        <v>0</v>
      </c>
      <c r="P110" s="141"/>
      <c r="Q110" s="141">
        <v>80</v>
      </c>
      <c r="R110" s="141">
        <v>70</v>
      </c>
      <c r="S110" s="141">
        <v>50</v>
      </c>
      <c r="T110" s="148">
        <f>SUM(P110:S110)</f>
        <v>200</v>
      </c>
      <c r="U110" s="148"/>
      <c r="V110" s="148"/>
      <c r="W110" s="148"/>
    </row>
    <row r="111" spans="1:23" ht="12.75" customHeight="1">
      <c r="A111" s="400" t="s">
        <v>249</v>
      </c>
      <c r="B111" s="399" t="s">
        <v>250</v>
      </c>
      <c r="C111" s="426"/>
      <c r="D111" s="419"/>
      <c r="E111" s="174"/>
      <c r="F111" s="174"/>
      <c r="G111" s="174"/>
      <c r="H111" s="174"/>
      <c r="I111" s="427"/>
      <c r="J111" s="392"/>
      <c r="K111" s="140"/>
      <c r="L111" s="141"/>
      <c r="M111" s="141"/>
      <c r="N111" s="141"/>
      <c r="O111" s="148">
        <f t="shared" si="34"/>
        <v>0</v>
      </c>
      <c r="P111" s="141"/>
      <c r="Q111" s="141">
        <v>30</v>
      </c>
      <c r="R111" s="141">
        <v>30</v>
      </c>
      <c r="S111" s="141">
        <v>40</v>
      </c>
      <c r="T111" s="148">
        <f>SUM(P111:S111)</f>
        <v>100</v>
      </c>
      <c r="U111" s="148"/>
      <c r="V111" s="148"/>
      <c r="W111" s="148"/>
    </row>
    <row r="112" spans="1:23" ht="24.75" customHeight="1">
      <c r="A112" s="400" t="s">
        <v>251</v>
      </c>
      <c r="B112" s="379" t="s">
        <v>252</v>
      </c>
      <c r="C112" s="426"/>
      <c r="D112" s="419"/>
      <c r="E112" s="174"/>
      <c r="F112" s="174"/>
      <c r="G112" s="174"/>
      <c r="H112" s="174"/>
      <c r="I112" s="427"/>
      <c r="J112" s="392"/>
      <c r="K112" s="140"/>
      <c r="L112" s="141"/>
      <c r="M112" s="141"/>
      <c r="N112" s="141"/>
      <c r="O112" s="148">
        <f t="shared" si="34"/>
        <v>0</v>
      </c>
      <c r="P112" s="141"/>
      <c r="Q112" s="141"/>
      <c r="R112" s="141"/>
      <c r="S112" s="141"/>
      <c r="T112" s="148">
        <f>SUM(P112:S112)</f>
        <v>0</v>
      </c>
      <c r="U112" s="148"/>
      <c r="V112" s="148"/>
      <c r="W112" s="148">
        <v>400</v>
      </c>
    </row>
    <row r="113" spans="1:23" ht="12.75" customHeight="1">
      <c r="A113" s="429" t="s">
        <v>253</v>
      </c>
      <c r="B113" s="399" t="s">
        <v>254</v>
      </c>
      <c r="C113" s="426"/>
      <c r="D113" s="419"/>
      <c r="E113" s="174"/>
      <c r="F113" s="174"/>
      <c r="G113" s="174"/>
      <c r="H113" s="174"/>
      <c r="I113" s="427"/>
      <c r="J113" s="392"/>
      <c r="K113" s="140"/>
      <c r="L113" s="141"/>
      <c r="M113" s="141"/>
      <c r="N113" s="141"/>
      <c r="O113" s="148">
        <f t="shared" si="34"/>
        <v>0</v>
      </c>
      <c r="P113" s="141"/>
      <c r="Q113" s="141"/>
      <c r="R113" s="141">
        <v>50</v>
      </c>
      <c r="S113" s="141">
        <v>50</v>
      </c>
      <c r="T113" s="148">
        <f>SUM(P113:S113)</f>
        <v>100</v>
      </c>
      <c r="U113" s="148">
        <v>100</v>
      </c>
      <c r="V113" s="148">
        <v>100</v>
      </c>
      <c r="W113" s="148">
        <v>200</v>
      </c>
    </row>
    <row r="114" spans="1:23" ht="24" customHeight="1">
      <c r="A114" s="429" t="s">
        <v>255</v>
      </c>
      <c r="B114" s="430" t="s">
        <v>256</v>
      </c>
      <c r="C114" s="426"/>
      <c r="D114" s="419"/>
      <c r="E114" s="174"/>
      <c r="F114" s="174"/>
      <c r="G114" s="174"/>
      <c r="H114" s="174"/>
      <c r="I114" s="427"/>
      <c r="J114" s="392">
        <f>SUM(J115)</f>
        <v>0</v>
      </c>
      <c r="K114" s="140">
        <f aca="true" t="shared" si="38" ref="K114:P114">SUM(K115)</f>
        <v>0</v>
      </c>
      <c r="L114" s="141">
        <f t="shared" si="38"/>
        <v>50</v>
      </c>
      <c r="M114" s="141">
        <f t="shared" si="38"/>
        <v>200</v>
      </c>
      <c r="N114" s="141">
        <f t="shared" si="38"/>
        <v>150</v>
      </c>
      <c r="O114" s="148">
        <f t="shared" si="34"/>
        <v>400</v>
      </c>
      <c r="P114" s="141">
        <f t="shared" si="38"/>
        <v>0</v>
      </c>
      <c r="Q114" s="141">
        <v>30</v>
      </c>
      <c r="R114" s="141">
        <v>100</v>
      </c>
      <c r="S114" s="141">
        <v>100</v>
      </c>
      <c r="T114" s="148">
        <f>SUM(P114:S114)</f>
        <v>230</v>
      </c>
      <c r="U114" s="148">
        <v>300</v>
      </c>
      <c r="V114" s="148">
        <v>280</v>
      </c>
      <c r="W114" s="148">
        <v>320</v>
      </c>
    </row>
    <row r="115" spans="1:23" ht="12" customHeight="1">
      <c r="A115" s="429"/>
      <c r="B115" s="431" t="s">
        <v>257</v>
      </c>
      <c r="C115" s="426"/>
      <c r="D115" s="419"/>
      <c r="E115" s="174"/>
      <c r="F115" s="174"/>
      <c r="G115" s="174"/>
      <c r="H115" s="174"/>
      <c r="I115" s="427"/>
      <c r="J115" s="392"/>
      <c r="K115" s="140"/>
      <c r="L115" s="141">
        <v>50</v>
      </c>
      <c r="M115" s="141">
        <v>200</v>
      </c>
      <c r="N115" s="141">
        <v>150</v>
      </c>
      <c r="O115" s="148">
        <f t="shared" si="34"/>
        <v>400</v>
      </c>
      <c r="P115" s="141"/>
      <c r="Q115" s="141"/>
      <c r="R115" s="141"/>
      <c r="S115" s="141"/>
      <c r="T115" s="148"/>
      <c r="U115" s="148"/>
      <c r="V115" s="148"/>
      <c r="W115" s="148"/>
    </row>
    <row r="116" spans="1:23" ht="12.75" customHeight="1">
      <c r="A116" s="429" t="s">
        <v>258</v>
      </c>
      <c r="B116" s="392" t="s">
        <v>259</v>
      </c>
      <c r="C116" s="426"/>
      <c r="D116" s="419"/>
      <c r="E116" s="174"/>
      <c r="F116" s="174"/>
      <c r="G116" s="174"/>
      <c r="H116" s="174"/>
      <c r="I116" s="427"/>
      <c r="J116" s="392"/>
      <c r="K116" s="140"/>
      <c r="L116" s="141"/>
      <c r="M116" s="141">
        <v>30</v>
      </c>
      <c r="N116" s="141">
        <v>20</v>
      </c>
      <c r="O116" s="148">
        <f t="shared" si="34"/>
        <v>50</v>
      </c>
      <c r="P116" s="141"/>
      <c r="Q116" s="141"/>
      <c r="R116" s="141"/>
      <c r="S116" s="141"/>
      <c r="T116" s="148">
        <f>SUM(P116:S116)</f>
        <v>0</v>
      </c>
      <c r="U116" s="148"/>
      <c r="V116" s="148"/>
      <c r="W116" s="148"/>
    </row>
    <row r="117" spans="1:23" ht="12.75" customHeight="1">
      <c r="A117" s="432" t="s">
        <v>260</v>
      </c>
      <c r="B117" s="392" t="s">
        <v>261</v>
      </c>
      <c r="C117" s="426"/>
      <c r="D117" s="419"/>
      <c r="E117" s="174"/>
      <c r="F117" s="174"/>
      <c r="G117" s="174"/>
      <c r="H117" s="174"/>
      <c r="I117" s="427"/>
      <c r="J117" s="392"/>
      <c r="K117" s="140"/>
      <c r="L117" s="141"/>
      <c r="M117" s="141">
        <v>70</v>
      </c>
      <c r="N117" s="141"/>
      <c r="O117" s="148">
        <f t="shared" si="34"/>
        <v>70</v>
      </c>
      <c r="P117" s="141"/>
      <c r="Q117" s="141"/>
      <c r="R117" s="141"/>
      <c r="S117" s="141"/>
      <c r="T117" s="148">
        <f>SUM(P117:S117)</f>
        <v>0</v>
      </c>
      <c r="U117" s="148"/>
      <c r="V117" s="148"/>
      <c r="W117" s="148"/>
    </row>
    <row r="118" spans="1:23" ht="12.75" customHeight="1">
      <c r="A118" s="432" t="s">
        <v>262</v>
      </c>
      <c r="B118" s="392" t="s">
        <v>263</v>
      </c>
      <c r="C118" s="426"/>
      <c r="D118" s="419"/>
      <c r="E118" s="174"/>
      <c r="F118" s="174"/>
      <c r="G118" s="174"/>
      <c r="H118" s="174"/>
      <c r="I118" s="427"/>
      <c r="J118" s="392"/>
      <c r="K118" s="145"/>
      <c r="L118" s="141"/>
      <c r="M118" s="141">
        <v>70</v>
      </c>
      <c r="N118" s="141"/>
      <c r="O118" s="148">
        <f t="shared" si="34"/>
        <v>70</v>
      </c>
      <c r="P118" s="145"/>
      <c r="Q118" s="141"/>
      <c r="R118" s="141"/>
      <c r="S118" s="141"/>
      <c r="T118" s="148"/>
      <c r="U118" s="148"/>
      <c r="V118" s="148"/>
      <c r="W118" s="148"/>
    </row>
    <row r="119" spans="1:23" ht="12.75" customHeight="1">
      <c r="A119" s="433" t="s">
        <v>264</v>
      </c>
      <c r="B119" s="392" t="s">
        <v>265</v>
      </c>
      <c r="C119" s="426"/>
      <c r="D119" s="419"/>
      <c r="E119" s="174"/>
      <c r="F119" s="174"/>
      <c r="G119" s="174"/>
      <c r="H119" s="174"/>
      <c r="I119" s="427"/>
      <c r="J119" s="392"/>
      <c r="L119" s="141"/>
      <c r="M119" s="141">
        <v>10</v>
      </c>
      <c r="N119" s="141"/>
      <c r="O119" s="148">
        <f t="shared" si="34"/>
        <v>10</v>
      </c>
      <c r="Q119" s="141"/>
      <c r="R119" s="141"/>
      <c r="S119" s="141"/>
      <c r="T119" s="148">
        <f>SUM(P119:S119)</f>
        <v>0</v>
      </c>
      <c r="V119" s="148"/>
      <c r="W119" s="148"/>
    </row>
    <row r="120" spans="1:24" ht="12.75" customHeight="1">
      <c r="A120" s="415" t="s">
        <v>266</v>
      </c>
      <c r="B120" s="404" t="s">
        <v>267</v>
      </c>
      <c r="C120" s="426"/>
      <c r="D120" s="419"/>
      <c r="E120" s="174"/>
      <c r="F120" s="174"/>
      <c r="G120" s="174"/>
      <c r="H120" s="174"/>
      <c r="I120" s="427"/>
      <c r="J120" s="434"/>
      <c r="K120" s="408">
        <f>SUM(K121:K127)</f>
        <v>0</v>
      </c>
      <c r="L120" s="408">
        <f>SUM(L121:L127)</f>
        <v>0</v>
      </c>
      <c r="M120" s="408">
        <f>SUM(M121:M127)</f>
        <v>0</v>
      </c>
      <c r="N120" s="408">
        <f>SUM(N121:N127)</f>
        <v>50</v>
      </c>
      <c r="O120" s="409">
        <f t="shared" si="34"/>
        <v>50</v>
      </c>
      <c r="P120" s="410">
        <f>SUM(P121:P126)</f>
        <v>0</v>
      </c>
      <c r="Q120" s="410">
        <f>SUM(Q121:Q126)</f>
        <v>75</v>
      </c>
      <c r="R120" s="410">
        <f>SUM(R121:R126)</f>
        <v>25</v>
      </c>
      <c r="S120" s="410">
        <f>SUM(S121:S126)</f>
        <v>0</v>
      </c>
      <c r="T120" s="409">
        <f>SUM(P120:S120)</f>
        <v>100</v>
      </c>
      <c r="U120" s="409">
        <f>SUM(U121:U126)</f>
        <v>100</v>
      </c>
      <c r="V120" s="409">
        <f>SUM(V121:V126)</f>
        <v>100</v>
      </c>
      <c r="W120" s="409">
        <f>SUM(W121:W126)</f>
        <v>100</v>
      </c>
      <c r="X120" s="34">
        <f>SUM(O120+T120+U120+V120+W120)</f>
        <v>450</v>
      </c>
    </row>
    <row r="121" spans="1:23" ht="12.75" customHeight="1">
      <c r="A121" s="424" t="s">
        <v>268</v>
      </c>
      <c r="B121" s="379" t="s">
        <v>269</v>
      </c>
      <c r="C121" s="426"/>
      <c r="D121" s="419"/>
      <c r="E121" s="174"/>
      <c r="F121" s="174"/>
      <c r="G121" s="174"/>
      <c r="H121" s="174"/>
      <c r="I121" s="427"/>
      <c r="J121" s="392"/>
      <c r="K121" s="140"/>
      <c r="L121" s="141"/>
      <c r="M121" s="141"/>
      <c r="N121" s="141">
        <v>50</v>
      </c>
      <c r="O121" s="148">
        <f t="shared" si="34"/>
        <v>50</v>
      </c>
      <c r="P121" s="141"/>
      <c r="Q121" s="141">
        <v>50</v>
      </c>
      <c r="R121" s="141"/>
      <c r="S121" s="141"/>
      <c r="T121" s="148">
        <f aca="true" t="shared" si="39" ref="T121:T132">SUM(P121:S121)</f>
        <v>50</v>
      </c>
      <c r="U121" s="148">
        <v>50</v>
      </c>
      <c r="V121" s="148">
        <v>50</v>
      </c>
      <c r="W121" s="148">
        <v>50</v>
      </c>
    </row>
    <row r="122" spans="1:23" ht="12.75" customHeight="1">
      <c r="A122" s="424"/>
      <c r="B122" s="386" t="s">
        <v>270</v>
      </c>
      <c r="C122" s="426"/>
      <c r="D122" s="419"/>
      <c r="E122" s="174"/>
      <c r="F122" s="174"/>
      <c r="G122" s="174"/>
      <c r="H122" s="174"/>
      <c r="I122" s="427"/>
      <c r="J122" s="392"/>
      <c r="K122" s="140"/>
      <c r="L122" s="141"/>
      <c r="M122" s="141"/>
      <c r="N122" s="141"/>
      <c r="O122" s="148">
        <f t="shared" si="34"/>
        <v>0</v>
      </c>
      <c r="P122" s="141"/>
      <c r="Q122" s="141"/>
      <c r="R122" s="141"/>
      <c r="S122" s="141"/>
      <c r="T122" s="148"/>
      <c r="U122" s="148"/>
      <c r="V122" s="148"/>
      <c r="W122" s="148"/>
    </row>
    <row r="123" spans="1:23" ht="12.75" customHeight="1">
      <c r="A123" s="424"/>
      <c r="B123" s="435" t="s">
        <v>271</v>
      </c>
      <c r="C123" s="426"/>
      <c r="D123" s="419"/>
      <c r="E123" s="174"/>
      <c r="F123" s="174"/>
      <c r="G123" s="174"/>
      <c r="H123" s="174"/>
      <c r="I123" s="427"/>
      <c r="J123" s="392"/>
      <c r="K123" s="140"/>
      <c r="L123" s="141"/>
      <c r="M123" s="141"/>
      <c r="N123" s="141"/>
      <c r="O123" s="148">
        <f t="shared" si="34"/>
        <v>0</v>
      </c>
      <c r="P123" s="141"/>
      <c r="Q123" s="141"/>
      <c r="R123" s="141"/>
      <c r="S123" s="141"/>
      <c r="T123" s="148"/>
      <c r="U123" s="148"/>
      <c r="V123" s="148"/>
      <c r="W123" s="148"/>
    </row>
    <row r="124" spans="1:23" ht="12.75" customHeight="1">
      <c r="A124" s="424"/>
      <c r="B124" s="435" t="s">
        <v>272</v>
      </c>
      <c r="C124" s="426"/>
      <c r="D124" s="419"/>
      <c r="E124" s="174"/>
      <c r="F124" s="174"/>
      <c r="G124" s="174"/>
      <c r="H124" s="174"/>
      <c r="I124" s="427"/>
      <c r="J124" s="392"/>
      <c r="K124" s="140"/>
      <c r="L124" s="141"/>
      <c r="M124" s="141"/>
      <c r="N124" s="141"/>
      <c r="O124" s="148">
        <f t="shared" si="34"/>
        <v>0</v>
      </c>
      <c r="P124" s="141"/>
      <c r="Q124" s="141"/>
      <c r="R124" s="141"/>
      <c r="S124" s="141"/>
      <c r="T124" s="148"/>
      <c r="U124" s="148"/>
      <c r="V124" s="148"/>
      <c r="W124" s="148"/>
    </row>
    <row r="125" spans="1:23" ht="12.75" customHeight="1">
      <c r="A125" s="424" t="s">
        <v>273</v>
      </c>
      <c r="B125" s="379" t="s">
        <v>274</v>
      </c>
      <c r="C125" s="426"/>
      <c r="D125" s="419"/>
      <c r="E125" s="174"/>
      <c r="F125" s="174"/>
      <c r="G125" s="174"/>
      <c r="H125" s="174"/>
      <c r="I125" s="427"/>
      <c r="J125" s="392"/>
      <c r="K125" s="140"/>
      <c r="L125" s="141"/>
      <c r="M125" s="141"/>
      <c r="N125" s="141"/>
      <c r="O125" s="148">
        <f t="shared" si="34"/>
        <v>0</v>
      </c>
      <c r="P125" s="141"/>
      <c r="Q125" s="141">
        <v>25</v>
      </c>
      <c r="R125" s="141">
        <v>25</v>
      </c>
      <c r="S125" s="141"/>
      <c r="T125" s="148">
        <f t="shared" si="39"/>
        <v>50</v>
      </c>
      <c r="U125" s="148">
        <v>50</v>
      </c>
      <c r="V125" s="148">
        <v>50</v>
      </c>
      <c r="W125" s="148">
        <v>50</v>
      </c>
    </row>
    <row r="126" spans="1:23" ht="12.75" customHeight="1">
      <c r="A126" s="424"/>
      <c r="B126" s="392"/>
      <c r="C126" s="426"/>
      <c r="D126" s="419"/>
      <c r="E126" s="174"/>
      <c r="F126" s="174"/>
      <c r="G126" s="174"/>
      <c r="H126" s="174"/>
      <c r="I126" s="427"/>
      <c r="J126" s="392"/>
      <c r="K126" s="140"/>
      <c r="L126" s="141"/>
      <c r="M126" s="141"/>
      <c r="N126" s="141"/>
      <c r="O126" s="148">
        <f t="shared" si="34"/>
        <v>0</v>
      </c>
      <c r="P126" s="141"/>
      <c r="Q126" s="141"/>
      <c r="R126" s="141"/>
      <c r="S126" s="141"/>
      <c r="T126" s="148">
        <f t="shared" si="39"/>
        <v>0</v>
      </c>
      <c r="U126" s="148"/>
      <c r="V126" s="148"/>
      <c r="W126" s="148"/>
    </row>
    <row r="127" spans="1:23" ht="12.75" customHeight="1">
      <c r="A127" s="424"/>
      <c r="B127" s="392"/>
      <c r="C127" s="426"/>
      <c r="D127" s="419"/>
      <c r="E127" s="174"/>
      <c r="F127" s="174"/>
      <c r="G127" s="174"/>
      <c r="H127" s="174"/>
      <c r="I127" s="427"/>
      <c r="J127" s="392"/>
      <c r="K127" s="140"/>
      <c r="L127" s="141"/>
      <c r="M127" s="141"/>
      <c r="N127" s="141"/>
      <c r="O127" s="148">
        <f t="shared" si="34"/>
        <v>0</v>
      </c>
      <c r="Q127" s="141"/>
      <c r="R127" s="141"/>
      <c r="S127" s="141"/>
      <c r="T127" s="148">
        <f t="shared" si="39"/>
        <v>0</v>
      </c>
      <c r="V127" s="148"/>
      <c r="W127" s="148"/>
    </row>
    <row r="128" spans="1:23" ht="12.75" customHeight="1">
      <c r="A128" s="424"/>
      <c r="B128" s="392"/>
      <c r="C128" s="426"/>
      <c r="D128" s="419"/>
      <c r="E128" s="174"/>
      <c r="F128" s="174"/>
      <c r="G128" s="174"/>
      <c r="H128" s="174"/>
      <c r="I128" s="427"/>
      <c r="J128" s="392"/>
      <c r="L128" s="141"/>
      <c r="M128" s="141"/>
      <c r="N128" s="141"/>
      <c r="O128" s="148">
        <f t="shared" si="34"/>
        <v>0</v>
      </c>
      <c r="P128" s="141"/>
      <c r="Q128" s="141"/>
      <c r="R128" s="141"/>
      <c r="S128" s="141"/>
      <c r="T128" s="148">
        <f t="shared" si="39"/>
        <v>0</v>
      </c>
      <c r="U128" s="148"/>
      <c r="V128" s="148"/>
      <c r="W128" s="148"/>
    </row>
    <row r="129" spans="1:23" ht="12.75" customHeight="1">
      <c r="A129" s="424"/>
      <c r="B129" s="392"/>
      <c r="C129" s="426"/>
      <c r="D129" s="419"/>
      <c r="E129" s="174"/>
      <c r="F129" s="174"/>
      <c r="G129" s="174"/>
      <c r="H129" s="174"/>
      <c r="I129" s="427"/>
      <c r="J129" s="392"/>
      <c r="K129" s="140"/>
      <c r="L129" s="141"/>
      <c r="M129" s="141"/>
      <c r="N129" s="141"/>
      <c r="O129" s="148">
        <f t="shared" si="34"/>
        <v>0</v>
      </c>
      <c r="P129" s="141"/>
      <c r="Q129" s="141"/>
      <c r="R129" s="141"/>
      <c r="S129" s="141"/>
      <c r="T129" s="148">
        <f t="shared" si="39"/>
        <v>0</v>
      </c>
      <c r="U129" s="148"/>
      <c r="V129" s="148"/>
      <c r="W129" s="148"/>
    </row>
    <row r="130" spans="1:23" ht="12.75" customHeight="1">
      <c r="A130" s="424"/>
      <c r="B130" s="392"/>
      <c r="C130" s="426"/>
      <c r="D130" s="419"/>
      <c r="E130" s="174"/>
      <c r="F130" s="174"/>
      <c r="G130" s="174"/>
      <c r="H130" s="174"/>
      <c r="I130" s="427"/>
      <c r="J130" s="392"/>
      <c r="K130" s="140"/>
      <c r="L130" s="141"/>
      <c r="M130" s="141"/>
      <c r="N130" s="141"/>
      <c r="O130" s="148">
        <f t="shared" si="34"/>
        <v>0</v>
      </c>
      <c r="P130" s="141"/>
      <c r="Q130" s="141"/>
      <c r="R130" s="141"/>
      <c r="S130" s="141"/>
      <c r="T130" s="148">
        <f t="shared" si="39"/>
        <v>0</v>
      </c>
      <c r="U130" s="148"/>
      <c r="V130" s="148"/>
      <c r="W130" s="148"/>
    </row>
    <row r="131" spans="1:23" ht="12.75" customHeight="1">
      <c r="A131" s="424"/>
      <c r="B131" s="392"/>
      <c r="C131" s="426"/>
      <c r="D131" s="419"/>
      <c r="E131" s="174"/>
      <c r="F131" s="174"/>
      <c r="G131" s="174"/>
      <c r="H131" s="174"/>
      <c r="I131" s="427"/>
      <c r="J131" s="392"/>
      <c r="K131" s="140"/>
      <c r="L131" s="141"/>
      <c r="M131" s="141"/>
      <c r="N131" s="141"/>
      <c r="O131" s="148">
        <f t="shared" si="34"/>
        <v>0</v>
      </c>
      <c r="P131" s="141"/>
      <c r="Q131" s="141"/>
      <c r="R131" s="141"/>
      <c r="S131" s="141"/>
      <c r="T131" s="148">
        <f t="shared" si="39"/>
        <v>0</v>
      </c>
      <c r="U131" s="148"/>
      <c r="V131" s="148"/>
      <c r="W131" s="148"/>
    </row>
    <row r="132" spans="1:23" ht="12.75" customHeight="1" thickBot="1">
      <c r="A132" s="436"/>
      <c r="B132" s="437"/>
      <c r="C132" s="438"/>
      <c r="D132" s="439"/>
      <c r="E132" s="440"/>
      <c r="F132" s="440"/>
      <c r="G132" s="440"/>
      <c r="H132" s="440"/>
      <c r="I132" s="441"/>
      <c r="J132" s="437"/>
      <c r="K132" s="442"/>
      <c r="L132" s="443"/>
      <c r="M132" s="443"/>
      <c r="N132" s="443"/>
      <c r="O132" s="148">
        <f t="shared" si="34"/>
        <v>0</v>
      </c>
      <c r="P132" s="444"/>
      <c r="Q132" s="445"/>
      <c r="R132" s="445"/>
      <c r="S132" s="446"/>
      <c r="T132" s="148">
        <f t="shared" si="39"/>
        <v>0</v>
      </c>
      <c r="U132" s="447"/>
      <c r="V132" s="437"/>
      <c r="W132" s="447"/>
    </row>
  </sheetData>
  <sheetProtection/>
  <mergeCells count="10">
    <mergeCell ref="V4:V5"/>
    <mergeCell ref="W4:W5"/>
    <mergeCell ref="A1:U1"/>
    <mergeCell ref="A2:U2"/>
    <mergeCell ref="C4:C5"/>
    <mergeCell ref="E4:I4"/>
    <mergeCell ref="J4:J5"/>
    <mergeCell ref="K4:O4"/>
    <mergeCell ref="P4:T4"/>
    <mergeCell ref="U4:U5"/>
  </mergeCells>
  <printOptions/>
  <pageMargins left="0.8267716535433072" right="0.15748031496062992" top="0.7874015748031497" bottom="0.1968503937007874" header="0.1968503937007874" footer="0.15748031496062992"/>
  <pageSetup fitToHeight="2" horizontalDpi="600" verticalDpi="600" orientation="landscape" paperSize="9" scale="70" r:id="rId3"/>
  <headerFooter alignWithMargins="0">
    <oddFooter>&amp;C1.&amp;P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showZeros="0" zoomScalePageLayoutView="0" workbookViewId="0" topLeftCell="A1">
      <pane xSplit="2" ySplit="5" topLeftCell="G6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68" sqref="Q68"/>
    </sheetView>
  </sheetViews>
  <sheetFormatPr defaultColWidth="9.140625" defaultRowHeight="12.75" customHeight="1"/>
  <cols>
    <col min="1" max="1" width="11.57421875" style="200" customWidth="1"/>
    <col min="2" max="2" width="40.140625" style="34" customWidth="1"/>
    <col min="3" max="3" width="8.28125" style="34" customWidth="1"/>
    <col min="4" max="7" width="8.7109375" style="150" customWidth="1"/>
    <col min="8" max="8" width="10.8515625" style="34" customWidth="1"/>
    <col min="9" max="12" width="8.7109375" style="150" customWidth="1"/>
    <col min="13" max="13" width="10.8515625" style="34" customWidth="1"/>
    <col min="14" max="14" width="9.140625" style="34" customWidth="1"/>
    <col min="15" max="15" width="11.7109375" style="34" customWidth="1"/>
    <col min="16" max="16" width="9.140625" style="34" customWidth="1"/>
    <col min="17" max="17" width="10.140625" style="34" customWidth="1"/>
    <col min="18" max="16384" width="9.140625" style="34" customWidth="1"/>
  </cols>
  <sheetData>
    <row r="1" spans="1:14" ht="12.75" customHeight="1">
      <c r="A1" s="1020" t="s">
        <v>41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</row>
    <row r="2" spans="1:14" ht="12.75" customHeight="1">
      <c r="A2" s="1020" t="s">
        <v>0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</row>
    <row r="3" spans="1:13" ht="12.75" customHeight="1" thickBot="1">
      <c r="A3" s="35"/>
      <c r="B3" s="36"/>
      <c r="C3" s="36"/>
      <c r="D3" s="38"/>
      <c r="E3" s="38"/>
      <c r="F3" s="38"/>
      <c r="G3" s="38"/>
      <c r="H3" s="36"/>
      <c r="I3" s="38"/>
      <c r="J3" s="38"/>
      <c r="K3" s="38"/>
      <c r="L3" s="38"/>
      <c r="M3" s="36"/>
    </row>
    <row r="4" spans="1:16" ht="18.75" customHeight="1" thickBot="1">
      <c r="A4" s="39" t="s">
        <v>1</v>
      </c>
      <c r="B4" s="40" t="s">
        <v>2</v>
      </c>
      <c r="C4" s="1024" t="s">
        <v>42</v>
      </c>
      <c r="D4" s="1026">
        <v>2012</v>
      </c>
      <c r="E4" s="1023"/>
      <c r="F4" s="1023"/>
      <c r="G4" s="1023"/>
      <c r="H4" s="1027"/>
      <c r="I4" s="1026">
        <v>2013</v>
      </c>
      <c r="J4" s="1023"/>
      <c r="K4" s="1023"/>
      <c r="L4" s="1023"/>
      <c r="M4" s="1027"/>
      <c r="N4" s="1018">
        <v>2014</v>
      </c>
      <c r="O4" s="1018">
        <v>2015</v>
      </c>
      <c r="P4" s="1018">
        <v>2016</v>
      </c>
    </row>
    <row r="5" spans="1:16" ht="32.25" customHeight="1" thickBot="1">
      <c r="A5" s="43" t="s">
        <v>5</v>
      </c>
      <c r="B5" s="44" t="s">
        <v>6</v>
      </c>
      <c r="C5" s="1025"/>
      <c r="D5" s="49" t="s">
        <v>8</v>
      </c>
      <c r="E5" s="50" t="s">
        <v>9</v>
      </c>
      <c r="F5" s="50" t="s">
        <v>10</v>
      </c>
      <c r="G5" s="51" t="s">
        <v>11</v>
      </c>
      <c r="H5" s="52" t="s">
        <v>12</v>
      </c>
      <c r="I5" s="49" t="s">
        <v>8</v>
      </c>
      <c r="J5" s="50" t="s">
        <v>9</v>
      </c>
      <c r="K5" s="50" t="s">
        <v>10</v>
      </c>
      <c r="L5" s="51" t="s">
        <v>11</v>
      </c>
      <c r="M5" s="52" t="s">
        <v>12</v>
      </c>
      <c r="N5" s="1019"/>
      <c r="O5" s="1019"/>
      <c r="P5" s="1019"/>
    </row>
    <row r="6" spans="1:16" ht="12.75" customHeight="1" hidden="1">
      <c r="A6" s="53" t="s">
        <v>13</v>
      </c>
      <c r="B6" s="54" t="s">
        <v>14</v>
      </c>
      <c r="C6" s="61"/>
      <c r="D6" s="62">
        <f aca="true" t="shared" si="0" ref="D6:P6">SUM(D7:D11)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4">
        <f t="shared" si="0"/>
        <v>0</v>
      </c>
      <c r="I6" s="62">
        <f t="shared" si="0"/>
        <v>0</v>
      </c>
      <c r="J6" s="63">
        <f t="shared" si="0"/>
        <v>0</v>
      </c>
      <c r="K6" s="63">
        <f t="shared" si="0"/>
        <v>0</v>
      </c>
      <c r="L6" s="65">
        <f t="shared" si="0"/>
        <v>0</v>
      </c>
      <c r="M6" s="64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</row>
    <row r="7" spans="1:16" s="36" customFormat="1" ht="12.75" customHeight="1" hidden="1">
      <c r="A7" s="67" t="s">
        <v>15</v>
      </c>
      <c r="B7" s="68" t="s">
        <v>16</v>
      </c>
      <c r="C7" s="75"/>
      <c r="D7" s="76"/>
      <c r="E7" s="77"/>
      <c r="F7" s="77"/>
      <c r="G7" s="78"/>
      <c r="H7" s="79">
        <f>SUM(D7:G7)</f>
        <v>0</v>
      </c>
      <c r="I7" s="76"/>
      <c r="J7" s="77"/>
      <c r="K7" s="77"/>
      <c r="L7" s="78"/>
      <c r="M7" s="79">
        <f>SUM(I7:L7)</f>
        <v>0</v>
      </c>
      <c r="N7" s="80"/>
      <c r="O7" s="80"/>
      <c r="P7" s="80"/>
    </row>
    <row r="8" spans="1:16" s="36" customFormat="1" ht="12.75" customHeight="1" hidden="1">
      <c r="A8" s="67" t="s">
        <v>17</v>
      </c>
      <c r="B8" s="68" t="s">
        <v>18</v>
      </c>
      <c r="C8" s="75"/>
      <c r="D8" s="76"/>
      <c r="E8" s="77"/>
      <c r="F8" s="77"/>
      <c r="G8" s="78"/>
      <c r="H8" s="79">
        <f>SUM(D8:G8)</f>
        <v>0</v>
      </c>
      <c r="I8" s="76">
        <f>H13</f>
        <v>0</v>
      </c>
      <c r="J8" s="77"/>
      <c r="K8" s="77"/>
      <c r="L8" s="78"/>
      <c r="M8" s="79">
        <f>SUM(I8:L8)</f>
        <v>0</v>
      </c>
      <c r="N8" s="80"/>
      <c r="O8" s="80"/>
      <c r="P8" s="80"/>
    </row>
    <row r="9" spans="1:16" s="36" customFormat="1" ht="12.75" customHeight="1" hidden="1">
      <c r="A9" s="67" t="s">
        <v>19</v>
      </c>
      <c r="B9" s="81" t="s">
        <v>20</v>
      </c>
      <c r="C9" s="75"/>
      <c r="D9" s="76"/>
      <c r="E9" s="77"/>
      <c r="F9" s="77"/>
      <c r="G9" s="78"/>
      <c r="H9" s="79">
        <f>SUM(D9:G9)</f>
        <v>0</v>
      </c>
      <c r="I9" s="76"/>
      <c r="J9" s="77"/>
      <c r="K9" s="77"/>
      <c r="L9" s="78"/>
      <c r="M9" s="79">
        <f>SUM(I9:L9)</f>
        <v>0</v>
      </c>
      <c r="N9" s="80"/>
      <c r="O9" s="80"/>
      <c r="P9" s="80"/>
    </row>
    <row r="10" spans="1:16" s="36" customFormat="1" ht="12.75" customHeight="1" hidden="1">
      <c r="A10" s="67" t="s">
        <v>21</v>
      </c>
      <c r="B10" s="81" t="s">
        <v>22</v>
      </c>
      <c r="C10" s="75"/>
      <c r="D10" s="76"/>
      <c r="E10" s="77"/>
      <c r="F10" s="77"/>
      <c r="G10" s="78"/>
      <c r="H10" s="79">
        <f>SUM(D10:G10)</f>
        <v>0</v>
      </c>
      <c r="I10" s="76"/>
      <c r="J10" s="77"/>
      <c r="K10" s="77"/>
      <c r="L10" s="78"/>
      <c r="M10" s="79">
        <f>SUM(I10:L10)</f>
        <v>0</v>
      </c>
      <c r="N10" s="80"/>
      <c r="O10" s="80"/>
      <c r="P10" s="80"/>
    </row>
    <row r="11" spans="1:16" s="36" customFormat="1" ht="12.75" customHeight="1" hidden="1" thickBot="1">
      <c r="A11" s="67" t="s">
        <v>23</v>
      </c>
      <c r="B11" s="81" t="s">
        <v>24</v>
      </c>
      <c r="C11" s="75"/>
      <c r="D11" s="84"/>
      <c r="E11" s="85"/>
      <c r="F11" s="85"/>
      <c r="G11" s="86"/>
      <c r="H11" s="79">
        <f>SUM(D11:G11)</f>
        <v>0</v>
      </c>
      <c r="I11" s="84"/>
      <c r="J11" s="85"/>
      <c r="K11" s="85"/>
      <c r="L11" s="86"/>
      <c r="M11" s="79">
        <f>SUM(I11:L11)</f>
        <v>0</v>
      </c>
      <c r="N11" s="80"/>
      <c r="O11" s="80"/>
      <c r="P11" s="80"/>
    </row>
    <row r="12" spans="1:16" ht="12.75" customHeight="1" hidden="1" thickTop="1">
      <c r="A12" s="87" t="s">
        <v>25</v>
      </c>
      <c r="B12" s="88" t="s">
        <v>26</v>
      </c>
      <c r="C12" s="94"/>
      <c r="D12" s="95">
        <f>IF(D6-D67&lt;0,D6-D67,0)</f>
        <v>0</v>
      </c>
      <c r="E12" s="96">
        <f>IF(E6+D13+D12-E67&lt;0,E6+D13+D12-E67,0)</f>
        <v>0</v>
      </c>
      <c r="F12" s="96">
        <f>IF(F6+E13+E12-F67&lt;0,F6+E13+E12-F67,0)</f>
        <v>0</v>
      </c>
      <c r="G12" s="96">
        <f>IF(G6+F13+F12-G67&lt;0,G6+F13+F12-G67,0)</f>
        <v>0</v>
      </c>
      <c r="H12" s="97">
        <f>G12</f>
        <v>0</v>
      </c>
      <c r="I12" s="95">
        <f>IF(I6-I67&lt;0,I6-I67,0)</f>
        <v>0</v>
      </c>
      <c r="J12" s="96">
        <f>IF(J6+I13+I12-J67&lt;0,J6+I13+I12-J67,0)</f>
        <v>0</v>
      </c>
      <c r="K12" s="96">
        <f>IF(K6+J13+J12-K67&lt;0,K6+J13+J12-K67,0)</f>
        <v>0</v>
      </c>
      <c r="L12" s="98">
        <f>IF(L6+K13+K12-L67&lt;0,L6+K13+K12-L67,0)</f>
        <v>0</v>
      </c>
      <c r="M12" s="99">
        <f>L12</f>
        <v>0</v>
      </c>
      <c r="N12" s="99" t="s">
        <v>27</v>
      </c>
      <c r="O12" s="99">
        <f>IF(O6-O67&lt;0,O6-O67,0)</f>
        <v>0</v>
      </c>
      <c r="P12" s="99">
        <f>IF(P6-P67&lt;0,P6-P67,0)</f>
        <v>0</v>
      </c>
    </row>
    <row r="13" spans="1:16" ht="12.75" customHeight="1" hidden="1" thickBot="1">
      <c r="A13" s="100" t="s">
        <v>28</v>
      </c>
      <c r="B13" s="101" t="s">
        <v>29</v>
      </c>
      <c r="C13" s="106"/>
      <c r="D13" s="107">
        <f>IF(D6-D67&gt;0,D6-D67,0)</f>
        <v>0</v>
      </c>
      <c r="E13" s="108">
        <f>IF(E6-E67+D12+D13&gt;0,E6-E67+D12+D13,0)</f>
        <v>0</v>
      </c>
      <c r="F13" s="108">
        <f>IF(F6-F67+E12+E13&gt;0,F6-F67+E12+E13,0)</f>
        <v>0</v>
      </c>
      <c r="G13" s="109">
        <f>IF(G6-G67+F12+F13&gt;0,G6-G67+F12+F13,0)</f>
        <v>0</v>
      </c>
      <c r="H13" s="110">
        <f>G13</f>
        <v>0</v>
      </c>
      <c r="I13" s="107">
        <f>IF(I6-I67&gt;0,I6-I67,0)</f>
        <v>0</v>
      </c>
      <c r="J13" s="108">
        <f>IF(J6-J67+I12+I13&gt;0,J6-J67+I12+I13,0)</f>
        <v>0</v>
      </c>
      <c r="K13" s="108">
        <f>IF(K6-K67+J12+J13&gt;0,K6-K67+J12+J13,0)</f>
        <v>0</v>
      </c>
      <c r="L13" s="109">
        <f>IF(L6-L67+K12+K13&gt;0,L6-L67+K12+K13,0)</f>
        <v>0</v>
      </c>
      <c r="M13" s="111">
        <f>L13</f>
        <v>0</v>
      </c>
      <c r="N13" s="111">
        <f>IF(N6-N67&gt;0,N6-N67,0)</f>
        <v>0</v>
      </c>
      <c r="O13" s="111">
        <f>IF(O6-O67&gt;0,O6-O67,0)</f>
        <v>0</v>
      </c>
      <c r="P13" s="111">
        <f>IF(P6-P67&gt;0,P6-P67,0)</f>
        <v>0</v>
      </c>
    </row>
    <row r="14" spans="1:18" s="150" customFormat="1" ht="18" customHeight="1">
      <c r="A14" s="325" t="s">
        <v>13</v>
      </c>
      <c r="B14" s="165" t="s">
        <v>408</v>
      </c>
      <c r="C14" s="144">
        <f aca="true" t="shared" si="1" ref="C14:P14">C15+C44</f>
        <v>0</v>
      </c>
      <c r="D14" s="145">
        <f t="shared" si="1"/>
        <v>654.5</v>
      </c>
      <c r="E14" s="145">
        <f t="shared" si="1"/>
        <v>1745</v>
      </c>
      <c r="F14" s="166">
        <f t="shared" si="1"/>
        <v>2071</v>
      </c>
      <c r="G14" s="166">
        <f t="shared" si="1"/>
        <v>1528</v>
      </c>
      <c r="H14" s="166">
        <f t="shared" si="1"/>
        <v>5998.5</v>
      </c>
      <c r="I14" s="166">
        <f t="shared" si="1"/>
        <v>115</v>
      </c>
      <c r="J14" s="166">
        <f t="shared" si="1"/>
        <v>620</v>
      </c>
      <c r="K14" s="166">
        <f t="shared" si="1"/>
        <v>1355</v>
      </c>
      <c r="L14" s="166">
        <f t="shared" si="1"/>
        <v>768</v>
      </c>
      <c r="M14" s="166">
        <f t="shared" si="1"/>
        <v>2858</v>
      </c>
      <c r="N14" s="166">
        <f t="shared" si="1"/>
        <v>1560</v>
      </c>
      <c r="O14" s="167">
        <f t="shared" si="1"/>
        <v>1160</v>
      </c>
      <c r="P14" s="287">
        <f t="shared" si="1"/>
        <v>1270</v>
      </c>
      <c r="Q14" s="168">
        <f>SUM(H14+M14+N14+O14+P14)</f>
        <v>12846.5</v>
      </c>
      <c r="R14" s="168">
        <f>SUM(Q15+Q44)</f>
        <v>12846.5</v>
      </c>
    </row>
    <row r="15" spans="1:18" s="150" customFormat="1" ht="18" customHeight="1">
      <c r="A15" s="325" t="s">
        <v>171</v>
      </c>
      <c r="B15" s="165" t="s">
        <v>409</v>
      </c>
      <c r="C15" s="144">
        <f aca="true" t="shared" si="2" ref="C15:P15">C21+C37+C16</f>
        <v>0</v>
      </c>
      <c r="D15" s="143">
        <f t="shared" si="2"/>
        <v>654.5</v>
      </c>
      <c r="E15" s="143">
        <f t="shared" si="2"/>
        <v>1745</v>
      </c>
      <c r="F15" s="167">
        <f t="shared" si="2"/>
        <v>2041</v>
      </c>
      <c r="G15" s="167">
        <f t="shared" si="2"/>
        <v>1528</v>
      </c>
      <c r="H15" s="167">
        <f t="shared" si="2"/>
        <v>5968.5</v>
      </c>
      <c r="I15" s="167">
        <f t="shared" si="2"/>
        <v>15</v>
      </c>
      <c r="J15" s="167">
        <f t="shared" si="2"/>
        <v>520</v>
      </c>
      <c r="K15" s="167">
        <f t="shared" si="2"/>
        <v>1255</v>
      </c>
      <c r="L15" s="167">
        <f t="shared" si="2"/>
        <v>668</v>
      </c>
      <c r="M15" s="167">
        <f t="shared" si="2"/>
        <v>2458</v>
      </c>
      <c r="N15" s="167">
        <f t="shared" si="2"/>
        <v>1160</v>
      </c>
      <c r="O15" s="167">
        <f t="shared" si="2"/>
        <v>760</v>
      </c>
      <c r="P15" s="287">
        <f t="shared" si="2"/>
        <v>870</v>
      </c>
      <c r="Q15" s="168">
        <f>SUM(H15+M15+N15+O15+P15)</f>
        <v>11216.5</v>
      </c>
      <c r="R15" s="169">
        <f>SUM(Q16+Q21+Q37)</f>
        <v>11216.5</v>
      </c>
    </row>
    <row r="16" spans="1:18" s="150" customFormat="1" ht="18" customHeight="1">
      <c r="A16" s="325"/>
      <c r="B16" s="681" t="s">
        <v>43</v>
      </c>
      <c r="C16" s="144">
        <f>SUM(C17:C20)</f>
        <v>0</v>
      </c>
      <c r="D16" s="143">
        <f aca="true" t="shared" si="3" ref="D16:P16">SUM(D17:D20)</f>
        <v>100</v>
      </c>
      <c r="E16" s="143">
        <f t="shared" si="3"/>
        <v>0</v>
      </c>
      <c r="F16" s="167">
        <f t="shared" si="3"/>
        <v>0</v>
      </c>
      <c r="G16" s="167">
        <f t="shared" si="3"/>
        <v>0</v>
      </c>
      <c r="H16" s="167">
        <f>SUM(D16:G16)</f>
        <v>100</v>
      </c>
      <c r="I16" s="167">
        <f t="shared" si="3"/>
        <v>0</v>
      </c>
      <c r="J16" s="167">
        <f t="shared" si="3"/>
        <v>0</v>
      </c>
      <c r="K16" s="167">
        <f t="shared" si="3"/>
        <v>0</v>
      </c>
      <c r="L16" s="167">
        <f t="shared" si="3"/>
        <v>0</v>
      </c>
      <c r="M16" s="167">
        <f t="shared" si="3"/>
        <v>0</v>
      </c>
      <c r="N16" s="167">
        <f t="shared" si="3"/>
        <v>0</v>
      </c>
      <c r="O16" s="167">
        <f t="shared" si="3"/>
        <v>0</v>
      </c>
      <c r="P16" s="287">
        <f t="shared" si="3"/>
        <v>0</v>
      </c>
      <c r="Q16" s="168">
        <f>SUM(H16+M16+N16+O16+P16)</f>
        <v>100</v>
      </c>
      <c r="R16" s="169"/>
    </row>
    <row r="17" spans="1:18" s="150" customFormat="1" ht="30" customHeight="1">
      <c r="A17" s="325"/>
      <c r="B17" s="683" t="str">
        <f>B71</f>
        <v>Nuotekų dumblo utilizavimo technologijų įvertinimas ir ekonomiškiausios technologijos parinkimas</v>
      </c>
      <c r="C17" s="144">
        <f aca="true" t="shared" si="4" ref="C17:P17">C71</f>
        <v>0</v>
      </c>
      <c r="D17" s="143">
        <f t="shared" si="4"/>
        <v>100</v>
      </c>
      <c r="E17" s="143">
        <f t="shared" si="4"/>
        <v>0</v>
      </c>
      <c r="F17" s="167">
        <f t="shared" si="4"/>
        <v>0</v>
      </c>
      <c r="G17" s="167">
        <f t="shared" si="4"/>
        <v>0</v>
      </c>
      <c r="H17" s="167">
        <f>SUM(D17:G17)</f>
        <v>100</v>
      </c>
      <c r="I17" s="167">
        <f t="shared" si="4"/>
        <v>0</v>
      </c>
      <c r="J17" s="167">
        <f t="shared" si="4"/>
        <v>0</v>
      </c>
      <c r="K17" s="167">
        <f t="shared" si="4"/>
        <v>0</v>
      </c>
      <c r="L17" s="167">
        <f t="shared" si="4"/>
        <v>0</v>
      </c>
      <c r="M17" s="167">
        <f t="shared" si="4"/>
        <v>0</v>
      </c>
      <c r="N17" s="167">
        <f t="shared" si="4"/>
        <v>0</v>
      </c>
      <c r="O17" s="167">
        <f t="shared" si="4"/>
        <v>0</v>
      </c>
      <c r="P17" s="287">
        <f t="shared" si="4"/>
        <v>0</v>
      </c>
      <c r="Q17" s="168"/>
      <c r="R17" s="169"/>
    </row>
    <row r="18" spans="1:18" s="150" customFormat="1" ht="18" customHeight="1">
      <c r="A18" s="325"/>
      <c r="B18" s="683"/>
      <c r="C18" s="144"/>
      <c r="D18" s="143"/>
      <c r="E18" s="143"/>
      <c r="F18" s="167"/>
      <c r="G18" s="167"/>
      <c r="H18" s="167">
        <f>SUM(D18:G18)</f>
        <v>0</v>
      </c>
      <c r="I18" s="167"/>
      <c r="J18" s="167"/>
      <c r="K18" s="167"/>
      <c r="L18" s="167"/>
      <c r="M18" s="167"/>
      <c r="N18" s="167"/>
      <c r="O18" s="167"/>
      <c r="P18" s="287"/>
      <c r="Q18" s="168"/>
      <c r="R18" s="169"/>
    </row>
    <row r="19" spans="1:18" s="150" customFormat="1" ht="18" customHeight="1">
      <c r="A19" s="325"/>
      <c r="B19" s="680"/>
      <c r="C19" s="144"/>
      <c r="D19" s="143"/>
      <c r="E19" s="143"/>
      <c r="F19" s="167"/>
      <c r="G19" s="167"/>
      <c r="H19" s="167">
        <f>SUM(D19:G19)</f>
        <v>0</v>
      </c>
      <c r="I19" s="167"/>
      <c r="J19" s="167"/>
      <c r="K19" s="167"/>
      <c r="L19" s="167"/>
      <c r="M19" s="167"/>
      <c r="N19" s="167"/>
      <c r="O19" s="167"/>
      <c r="P19" s="287"/>
      <c r="Q19" s="168"/>
      <c r="R19" s="169"/>
    </row>
    <row r="20" spans="1:18" s="150" customFormat="1" ht="18" customHeight="1">
      <c r="A20" s="325"/>
      <c r="B20" s="680"/>
      <c r="C20" s="144"/>
      <c r="D20" s="143"/>
      <c r="E20" s="143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287"/>
      <c r="Q20" s="168"/>
      <c r="R20" s="169"/>
    </row>
    <row r="21" spans="1:18" s="150" customFormat="1" ht="18" customHeight="1">
      <c r="A21" s="325"/>
      <c r="B21" s="335" t="s">
        <v>46</v>
      </c>
      <c r="C21" s="144">
        <f aca="true" t="shared" si="5" ref="C21:P21">SUM(C22:C35)</f>
        <v>0</v>
      </c>
      <c r="D21" s="143">
        <f t="shared" si="5"/>
        <v>554.5</v>
      </c>
      <c r="E21" s="143">
        <f t="shared" si="5"/>
        <v>1375</v>
      </c>
      <c r="F21" s="167">
        <f t="shared" si="5"/>
        <v>1861</v>
      </c>
      <c r="G21" s="167">
        <f t="shared" si="5"/>
        <v>928</v>
      </c>
      <c r="H21" s="167">
        <f t="shared" si="5"/>
        <v>4718.5</v>
      </c>
      <c r="I21" s="167">
        <f t="shared" si="5"/>
        <v>15</v>
      </c>
      <c r="J21" s="167">
        <f t="shared" si="5"/>
        <v>315</v>
      </c>
      <c r="K21" s="167">
        <f t="shared" si="5"/>
        <v>855</v>
      </c>
      <c r="L21" s="167">
        <f t="shared" si="5"/>
        <v>268</v>
      </c>
      <c r="M21" s="167">
        <f t="shared" si="5"/>
        <v>1453</v>
      </c>
      <c r="N21" s="167">
        <f t="shared" si="5"/>
        <v>1060</v>
      </c>
      <c r="O21" s="167">
        <f t="shared" si="5"/>
        <v>660</v>
      </c>
      <c r="P21" s="287">
        <f t="shared" si="5"/>
        <v>590</v>
      </c>
      <c r="Q21" s="168">
        <f>SUM(H21+M21+N21+O21+P21)</f>
        <v>8481.5</v>
      </c>
      <c r="R21" s="169"/>
    </row>
    <row r="22" spans="1:17" s="150" customFormat="1" ht="27.75" customHeight="1">
      <c r="A22" s="325"/>
      <c r="B22" s="686" t="str">
        <f>B94</f>
        <v>NS Nr.6 technologines ir elektrinės  dalies rekonstrukcija</v>
      </c>
      <c r="C22" s="144">
        <f aca="true" t="shared" si="6" ref="C22:P22">C94</f>
        <v>0</v>
      </c>
      <c r="D22" s="143">
        <f t="shared" si="6"/>
        <v>500</v>
      </c>
      <c r="E22" s="143">
        <f t="shared" si="6"/>
        <v>1000</v>
      </c>
      <c r="F22" s="167">
        <f t="shared" si="6"/>
        <v>1500</v>
      </c>
      <c r="G22" s="167">
        <f t="shared" si="6"/>
        <v>500</v>
      </c>
      <c r="H22" s="167">
        <f t="shared" si="6"/>
        <v>3500</v>
      </c>
      <c r="I22" s="167">
        <f t="shared" si="6"/>
        <v>0</v>
      </c>
      <c r="J22" s="167">
        <f t="shared" si="6"/>
        <v>0</v>
      </c>
      <c r="K22" s="167">
        <f t="shared" si="6"/>
        <v>0</v>
      </c>
      <c r="L22" s="167">
        <f t="shared" si="6"/>
        <v>0</v>
      </c>
      <c r="M22" s="167">
        <f t="shared" si="6"/>
        <v>0</v>
      </c>
      <c r="N22" s="167">
        <f t="shared" si="6"/>
        <v>0</v>
      </c>
      <c r="O22" s="167">
        <f t="shared" si="6"/>
        <v>0</v>
      </c>
      <c r="P22" s="287">
        <f t="shared" si="6"/>
        <v>0</v>
      </c>
      <c r="Q22" s="168"/>
    </row>
    <row r="23" spans="1:17" s="150" customFormat="1" ht="18" customHeight="1">
      <c r="A23" s="325"/>
      <c r="B23" s="327" t="s">
        <v>414</v>
      </c>
      <c r="C23" s="144">
        <f>C92</f>
        <v>0</v>
      </c>
      <c r="D23" s="143">
        <f aca="true" t="shared" si="7" ref="D23:P23">D92</f>
        <v>0</v>
      </c>
      <c r="E23" s="143">
        <f t="shared" si="7"/>
        <v>30</v>
      </c>
      <c r="F23" s="167">
        <f t="shared" si="7"/>
        <v>40</v>
      </c>
      <c r="G23" s="167">
        <f t="shared" si="7"/>
        <v>30</v>
      </c>
      <c r="H23" s="167">
        <f t="shared" si="7"/>
        <v>100</v>
      </c>
      <c r="I23" s="167">
        <f t="shared" si="7"/>
        <v>0</v>
      </c>
      <c r="J23" s="167">
        <f t="shared" si="7"/>
        <v>30</v>
      </c>
      <c r="K23" s="167">
        <f t="shared" si="7"/>
        <v>40</v>
      </c>
      <c r="L23" s="167">
        <f t="shared" si="7"/>
        <v>40</v>
      </c>
      <c r="M23" s="167">
        <f t="shared" si="7"/>
        <v>110</v>
      </c>
      <c r="N23" s="167">
        <f t="shared" si="7"/>
        <v>100</v>
      </c>
      <c r="O23" s="167">
        <f t="shared" si="7"/>
        <v>100</v>
      </c>
      <c r="P23" s="287">
        <f t="shared" si="7"/>
        <v>100</v>
      </c>
      <c r="Q23" s="168"/>
    </row>
    <row r="24" spans="1:17" s="150" customFormat="1" ht="27" customHeight="1">
      <c r="A24" s="325"/>
      <c r="B24" s="327" t="s">
        <v>415</v>
      </c>
      <c r="C24" s="144">
        <f>C93+C96+C98</f>
        <v>0</v>
      </c>
      <c r="D24" s="143">
        <f aca="true" t="shared" si="8" ref="D24:P24">D93+D96+D98</f>
        <v>5</v>
      </c>
      <c r="E24" s="143">
        <f t="shared" si="8"/>
        <v>10</v>
      </c>
      <c r="F24" s="167">
        <f t="shared" si="8"/>
        <v>5</v>
      </c>
      <c r="G24" s="167">
        <f t="shared" si="8"/>
        <v>340</v>
      </c>
      <c r="H24" s="167">
        <f t="shared" si="8"/>
        <v>360</v>
      </c>
      <c r="I24" s="167">
        <f t="shared" si="8"/>
        <v>5</v>
      </c>
      <c r="J24" s="167">
        <f t="shared" si="8"/>
        <v>5</v>
      </c>
      <c r="K24" s="167">
        <f t="shared" si="8"/>
        <v>5</v>
      </c>
      <c r="L24" s="167">
        <f t="shared" si="8"/>
        <v>5</v>
      </c>
      <c r="M24" s="167">
        <f t="shared" si="8"/>
        <v>20</v>
      </c>
      <c r="N24" s="167">
        <f t="shared" si="8"/>
        <v>40</v>
      </c>
      <c r="O24" s="167">
        <f t="shared" si="8"/>
        <v>40</v>
      </c>
      <c r="P24" s="287">
        <f t="shared" si="8"/>
        <v>40</v>
      </c>
      <c r="Q24" s="168"/>
    </row>
    <row r="25" spans="1:17" s="150" customFormat="1" ht="29.25" customHeight="1">
      <c r="A25" s="325"/>
      <c r="B25" s="327" t="s">
        <v>416</v>
      </c>
      <c r="C25" s="144">
        <f>C95+C97</f>
        <v>0</v>
      </c>
      <c r="D25" s="143">
        <f aca="true" t="shared" si="9" ref="D25:P25">D95+D97</f>
        <v>40</v>
      </c>
      <c r="E25" s="143">
        <f t="shared" si="9"/>
        <v>150</v>
      </c>
      <c r="F25" s="167">
        <f t="shared" si="9"/>
        <v>0</v>
      </c>
      <c r="G25" s="167">
        <f t="shared" si="9"/>
        <v>50</v>
      </c>
      <c r="H25" s="167">
        <f t="shared" si="9"/>
        <v>240</v>
      </c>
      <c r="I25" s="167">
        <f t="shared" si="9"/>
        <v>0</v>
      </c>
      <c r="J25" s="167">
        <f t="shared" si="9"/>
        <v>50</v>
      </c>
      <c r="K25" s="167">
        <f t="shared" si="9"/>
        <v>0</v>
      </c>
      <c r="L25" s="167">
        <f t="shared" si="9"/>
        <v>50</v>
      </c>
      <c r="M25" s="167">
        <f t="shared" si="9"/>
        <v>100</v>
      </c>
      <c r="N25" s="167">
        <f t="shared" si="9"/>
        <v>200</v>
      </c>
      <c r="O25" s="167">
        <f t="shared" si="9"/>
        <v>100</v>
      </c>
      <c r="P25" s="287">
        <f t="shared" si="9"/>
        <v>200</v>
      </c>
      <c r="Q25" s="168"/>
    </row>
    <row r="26" spans="1:17" s="150" customFormat="1" ht="27" customHeight="1">
      <c r="A26" s="325"/>
      <c r="B26" s="327" t="s">
        <v>417</v>
      </c>
      <c r="C26" s="144">
        <f>C99+C100</f>
        <v>0</v>
      </c>
      <c r="D26" s="143">
        <f aca="true" t="shared" si="10" ref="D26:P26">D99+D100</f>
        <v>0</v>
      </c>
      <c r="E26" s="143">
        <f t="shared" si="10"/>
        <v>25</v>
      </c>
      <c r="F26" s="167">
        <f t="shared" si="10"/>
        <v>10</v>
      </c>
      <c r="G26" s="167">
        <f t="shared" si="10"/>
        <v>5</v>
      </c>
      <c r="H26" s="167">
        <f t="shared" si="10"/>
        <v>40</v>
      </c>
      <c r="I26" s="167">
        <f t="shared" si="10"/>
        <v>10</v>
      </c>
      <c r="J26" s="167">
        <f t="shared" si="10"/>
        <v>10</v>
      </c>
      <c r="K26" s="167">
        <f t="shared" si="10"/>
        <v>30</v>
      </c>
      <c r="L26" s="167">
        <f t="shared" si="10"/>
        <v>10</v>
      </c>
      <c r="M26" s="167">
        <f t="shared" si="10"/>
        <v>60</v>
      </c>
      <c r="N26" s="167">
        <f t="shared" si="10"/>
        <v>90</v>
      </c>
      <c r="O26" s="167">
        <f t="shared" si="10"/>
        <v>90</v>
      </c>
      <c r="P26" s="287">
        <f t="shared" si="10"/>
        <v>90</v>
      </c>
      <c r="Q26" s="168"/>
    </row>
    <row r="27" spans="1:17" s="150" customFormat="1" ht="42.75" customHeight="1">
      <c r="A27" s="325"/>
      <c r="B27" s="327" t="s">
        <v>418</v>
      </c>
      <c r="C27" s="144">
        <f>C102+C103+C106+C107+C113</f>
        <v>0</v>
      </c>
      <c r="D27" s="143">
        <f aca="true" t="shared" si="11" ref="D27:P27">D102+D103+D106+D107+D113</f>
        <v>0</v>
      </c>
      <c r="E27" s="143">
        <f t="shared" si="11"/>
        <v>70</v>
      </c>
      <c r="F27" s="167">
        <f t="shared" si="11"/>
        <v>76</v>
      </c>
      <c r="G27" s="167">
        <f t="shared" si="11"/>
        <v>0</v>
      </c>
      <c r="H27" s="167">
        <f t="shared" si="11"/>
        <v>146</v>
      </c>
      <c r="I27" s="167">
        <f t="shared" si="11"/>
        <v>0</v>
      </c>
      <c r="J27" s="167">
        <f t="shared" si="11"/>
        <v>40</v>
      </c>
      <c r="K27" s="167">
        <f t="shared" si="11"/>
        <v>100</v>
      </c>
      <c r="L27" s="167">
        <f t="shared" si="11"/>
        <v>0</v>
      </c>
      <c r="M27" s="167">
        <f t="shared" si="11"/>
        <v>140</v>
      </c>
      <c r="N27" s="167">
        <f t="shared" si="11"/>
        <v>80</v>
      </c>
      <c r="O27" s="167">
        <f t="shared" si="11"/>
        <v>80</v>
      </c>
      <c r="P27" s="287">
        <f t="shared" si="11"/>
        <v>80</v>
      </c>
      <c r="Q27" s="168"/>
    </row>
    <row r="28" spans="1:17" s="150" customFormat="1" ht="42.75" customHeight="1">
      <c r="A28" s="325"/>
      <c r="B28" s="327" t="s">
        <v>550</v>
      </c>
      <c r="C28" s="144">
        <f>C109</f>
        <v>0</v>
      </c>
      <c r="D28" s="143">
        <f aca="true" t="shared" si="12" ref="D28:P28">D109</f>
        <v>0</v>
      </c>
      <c r="E28" s="143">
        <f t="shared" si="12"/>
        <v>60</v>
      </c>
      <c r="F28" s="167">
        <f t="shared" si="12"/>
        <v>60</v>
      </c>
      <c r="G28" s="167">
        <f t="shared" si="12"/>
        <v>0</v>
      </c>
      <c r="H28" s="167">
        <f t="shared" si="12"/>
        <v>120</v>
      </c>
      <c r="I28" s="167">
        <f t="shared" si="12"/>
        <v>0</v>
      </c>
      <c r="J28" s="167">
        <f t="shared" si="12"/>
        <v>0</v>
      </c>
      <c r="K28" s="167">
        <f t="shared" si="12"/>
        <v>0</v>
      </c>
      <c r="L28" s="167">
        <f t="shared" si="12"/>
        <v>0</v>
      </c>
      <c r="M28" s="167">
        <f t="shared" si="12"/>
        <v>0</v>
      </c>
      <c r="N28" s="167">
        <f t="shared" si="12"/>
        <v>0</v>
      </c>
      <c r="O28" s="167">
        <f t="shared" si="12"/>
        <v>0</v>
      </c>
      <c r="P28" s="287">
        <f t="shared" si="12"/>
        <v>0</v>
      </c>
      <c r="Q28" s="168"/>
    </row>
    <row r="29" spans="1:17" s="150" customFormat="1" ht="31.5" customHeight="1">
      <c r="A29" s="325"/>
      <c r="B29" s="327" t="s">
        <v>323</v>
      </c>
      <c r="C29" s="144">
        <f aca="true" t="shared" si="13" ref="C29:P30">C110</f>
        <v>0</v>
      </c>
      <c r="D29" s="143">
        <f t="shared" si="13"/>
        <v>0</v>
      </c>
      <c r="E29" s="143">
        <f t="shared" si="13"/>
        <v>0</v>
      </c>
      <c r="F29" s="167">
        <f t="shared" si="13"/>
        <v>0</v>
      </c>
      <c r="G29" s="167">
        <f t="shared" si="13"/>
        <v>0</v>
      </c>
      <c r="H29" s="167">
        <f t="shared" si="13"/>
        <v>0</v>
      </c>
      <c r="I29" s="167">
        <f t="shared" si="13"/>
        <v>0</v>
      </c>
      <c r="J29" s="167">
        <f t="shared" si="13"/>
        <v>100</v>
      </c>
      <c r="K29" s="167">
        <f t="shared" si="13"/>
        <v>250</v>
      </c>
      <c r="L29" s="167">
        <f t="shared" si="13"/>
        <v>150</v>
      </c>
      <c r="M29" s="167">
        <f t="shared" si="13"/>
        <v>500</v>
      </c>
      <c r="N29" s="167">
        <f t="shared" si="13"/>
        <v>0</v>
      </c>
      <c r="O29" s="167">
        <f t="shared" si="13"/>
        <v>0</v>
      </c>
      <c r="P29" s="287">
        <f t="shared" si="13"/>
        <v>0</v>
      </c>
      <c r="Q29" s="168"/>
    </row>
    <row r="30" spans="1:17" s="150" customFormat="1" ht="39.75" customHeight="1">
      <c r="A30" s="325"/>
      <c r="B30" s="327" t="s">
        <v>422</v>
      </c>
      <c r="C30" s="144">
        <f t="shared" si="13"/>
        <v>0</v>
      </c>
      <c r="D30" s="143">
        <f t="shared" si="13"/>
        <v>0</v>
      </c>
      <c r="E30" s="143">
        <f t="shared" si="13"/>
        <v>0</v>
      </c>
      <c r="F30" s="167">
        <f t="shared" si="13"/>
        <v>80</v>
      </c>
      <c r="G30" s="167">
        <f t="shared" si="13"/>
        <v>0</v>
      </c>
      <c r="H30" s="167">
        <f t="shared" si="13"/>
        <v>80</v>
      </c>
      <c r="I30" s="167">
        <f t="shared" si="13"/>
        <v>0</v>
      </c>
      <c r="J30" s="167">
        <f t="shared" si="13"/>
        <v>0</v>
      </c>
      <c r="K30" s="167">
        <f t="shared" si="13"/>
        <v>0</v>
      </c>
      <c r="L30" s="167">
        <f t="shared" si="13"/>
        <v>0</v>
      </c>
      <c r="M30" s="167">
        <f t="shared" si="13"/>
        <v>0</v>
      </c>
      <c r="N30" s="167">
        <f t="shared" si="13"/>
        <v>0</v>
      </c>
      <c r="O30" s="167">
        <f t="shared" si="13"/>
        <v>0</v>
      </c>
      <c r="P30" s="287">
        <f t="shared" si="13"/>
        <v>0</v>
      </c>
      <c r="Q30" s="168"/>
    </row>
    <row r="31" spans="1:17" s="150" customFormat="1" ht="36" customHeight="1">
      <c r="A31" s="325"/>
      <c r="B31" s="327" t="s">
        <v>419</v>
      </c>
      <c r="C31" s="144">
        <f>C108</f>
        <v>0</v>
      </c>
      <c r="D31" s="143">
        <f aca="true" t="shared" si="14" ref="D31:P31">D108</f>
        <v>0</v>
      </c>
      <c r="E31" s="143">
        <f t="shared" si="14"/>
        <v>30</v>
      </c>
      <c r="F31" s="167">
        <f t="shared" si="14"/>
        <v>0</v>
      </c>
      <c r="G31" s="167">
        <f t="shared" si="14"/>
        <v>0</v>
      </c>
      <c r="H31" s="167">
        <f t="shared" si="14"/>
        <v>30</v>
      </c>
      <c r="I31" s="167">
        <f t="shared" si="14"/>
        <v>0</v>
      </c>
      <c r="J31" s="167">
        <f t="shared" si="14"/>
        <v>40</v>
      </c>
      <c r="K31" s="167">
        <f t="shared" si="14"/>
        <v>0</v>
      </c>
      <c r="L31" s="167">
        <f t="shared" si="14"/>
        <v>0</v>
      </c>
      <c r="M31" s="167">
        <f t="shared" si="14"/>
        <v>40</v>
      </c>
      <c r="N31" s="167">
        <f t="shared" si="14"/>
        <v>40</v>
      </c>
      <c r="O31" s="167">
        <f t="shared" si="14"/>
        <v>40</v>
      </c>
      <c r="P31" s="287">
        <f t="shared" si="14"/>
        <v>40</v>
      </c>
      <c r="Q31" s="168"/>
    </row>
    <row r="32" spans="1:17" s="150" customFormat="1" ht="36" customHeight="1">
      <c r="A32" s="325"/>
      <c r="B32" s="337" t="s">
        <v>420</v>
      </c>
      <c r="C32" s="144">
        <f>C112</f>
        <v>0</v>
      </c>
      <c r="D32" s="143">
        <f aca="true" t="shared" si="15" ref="D32:P32">D112</f>
        <v>0</v>
      </c>
      <c r="E32" s="143">
        <f t="shared" si="15"/>
        <v>0</v>
      </c>
      <c r="F32" s="167">
        <f t="shared" si="15"/>
        <v>30</v>
      </c>
      <c r="G32" s="167">
        <f t="shared" si="15"/>
        <v>0</v>
      </c>
      <c r="H32" s="167">
        <f t="shared" si="15"/>
        <v>30</v>
      </c>
      <c r="I32" s="167">
        <f t="shared" si="15"/>
        <v>0</v>
      </c>
      <c r="J32" s="167">
        <f t="shared" si="15"/>
        <v>40</v>
      </c>
      <c r="K32" s="167">
        <f t="shared" si="15"/>
        <v>0</v>
      </c>
      <c r="L32" s="167">
        <f t="shared" si="15"/>
        <v>0</v>
      </c>
      <c r="M32" s="167">
        <f t="shared" si="15"/>
        <v>40</v>
      </c>
      <c r="N32" s="167">
        <f t="shared" si="15"/>
        <v>40</v>
      </c>
      <c r="O32" s="167">
        <f t="shared" si="15"/>
        <v>40</v>
      </c>
      <c r="P32" s="287">
        <f t="shared" si="15"/>
        <v>40</v>
      </c>
      <c r="Q32" s="168"/>
    </row>
    <row r="33" spans="1:17" s="150" customFormat="1" ht="29.25" customHeight="1">
      <c r="A33" s="325"/>
      <c r="B33" s="337" t="s">
        <v>313</v>
      </c>
      <c r="C33" s="144">
        <f>C104</f>
        <v>0</v>
      </c>
      <c r="D33" s="143">
        <f aca="true" t="shared" si="16" ref="D33:P33">D104</f>
        <v>0</v>
      </c>
      <c r="E33" s="143">
        <f t="shared" si="16"/>
        <v>0</v>
      </c>
      <c r="F33" s="167">
        <f t="shared" si="16"/>
        <v>0</v>
      </c>
      <c r="G33" s="167">
        <f t="shared" si="16"/>
        <v>0</v>
      </c>
      <c r="H33" s="167">
        <f t="shared" si="16"/>
        <v>0</v>
      </c>
      <c r="I33" s="167">
        <f t="shared" si="16"/>
        <v>0</v>
      </c>
      <c r="J33" s="167">
        <f t="shared" si="16"/>
        <v>0</v>
      </c>
      <c r="K33" s="167">
        <f t="shared" si="16"/>
        <v>0</v>
      </c>
      <c r="L33" s="167">
        <f t="shared" si="16"/>
        <v>0</v>
      </c>
      <c r="M33" s="167">
        <f t="shared" si="16"/>
        <v>0</v>
      </c>
      <c r="N33" s="167">
        <f t="shared" si="16"/>
        <v>0</v>
      </c>
      <c r="O33" s="167">
        <f t="shared" si="16"/>
        <v>0</v>
      </c>
      <c r="P33" s="287">
        <f t="shared" si="16"/>
        <v>0</v>
      </c>
      <c r="Q33" s="168"/>
    </row>
    <row r="34" spans="1:17" s="150" customFormat="1" ht="36" customHeight="1">
      <c r="A34" s="325"/>
      <c r="B34" s="327" t="s">
        <v>553</v>
      </c>
      <c r="C34" s="144">
        <f>C105</f>
        <v>0</v>
      </c>
      <c r="D34" s="143">
        <f aca="true" t="shared" si="17" ref="D34:P34">D105</f>
        <v>0</v>
      </c>
      <c r="E34" s="143">
        <f t="shared" si="17"/>
        <v>0</v>
      </c>
      <c r="F34" s="167">
        <f t="shared" si="17"/>
        <v>0</v>
      </c>
      <c r="G34" s="167">
        <f t="shared" si="17"/>
        <v>0</v>
      </c>
      <c r="H34" s="167">
        <f t="shared" si="17"/>
        <v>0</v>
      </c>
      <c r="I34" s="167">
        <f t="shared" si="17"/>
        <v>0</v>
      </c>
      <c r="J34" s="167">
        <f t="shared" si="17"/>
        <v>0</v>
      </c>
      <c r="K34" s="167">
        <f t="shared" si="17"/>
        <v>400</v>
      </c>
      <c r="L34" s="167">
        <f t="shared" si="17"/>
        <v>0</v>
      </c>
      <c r="M34" s="167">
        <f t="shared" si="17"/>
        <v>400</v>
      </c>
      <c r="N34" s="167">
        <f t="shared" si="17"/>
        <v>400</v>
      </c>
      <c r="O34" s="167">
        <f t="shared" si="17"/>
        <v>0</v>
      </c>
      <c r="P34" s="287">
        <f t="shared" si="17"/>
        <v>0</v>
      </c>
      <c r="Q34" s="168"/>
    </row>
    <row r="35" spans="1:17" s="150" customFormat="1" ht="21" customHeight="1">
      <c r="A35" s="325"/>
      <c r="B35" s="327" t="s">
        <v>421</v>
      </c>
      <c r="C35" s="144">
        <f>SUM(C115)</f>
        <v>0</v>
      </c>
      <c r="D35" s="143">
        <f aca="true" t="shared" si="18" ref="D35:P35">SUM(D115)</f>
        <v>9.5</v>
      </c>
      <c r="E35" s="143">
        <f t="shared" si="18"/>
        <v>0</v>
      </c>
      <c r="F35" s="167">
        <f t="shared" si="18"/>
        <v>60</v>
      </c>
      <c r="G35" s="167">
        <f t="shared" si="18"/>
        <v>3</v>
      </c>
      <c r="H35" s="167">
        <f t="shared" si="18"/>
        <v>72.5</v>
      </c>
      <c r="I35" s="167">
        <f t="shared" si="18"/>
        <v>0</v>
      </c>
      <c r="J35" s="167">
        <f t="shared" si="18"/>
        <v>0</v>
      </c>
      <c r="K35" s="167">
        <f t="shared" si="18"/>
        <v>30</v>
      </c>
      <c r="L35" s="167">
        <f t="shared" si="18"/>
        <v>13</v>
      </c>
      <c r="M35" s="167">
        <f t="shared" si="18"/>
        <v>43</v>
      </c>
      <c r="N35" s="167">
        <f t="shared" si="18"/>
        <v>70</v>
      </c>
      <c r="O35" s="167">
        <f t="shared" si="18"/>
        <v>170</v>
      </c>
      <c r="P35" s="287">
        <f t="shared" si="18"/>
        <v>0</v>
      </c>
      <c r="Q35" s="168"/>
    </row>
    <row r="36" spans="1:17" s="150" customFormat="1" ht="18" customHeight="1">
      <c r="A36" s="325"/>
      <c r="B36" s="336"/>
      <c r="C36" s="144"/>
      <c r="D36" s="143"/>
      <c r="E36" s="143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287"/>
      <c r="Q36" s="168"/>
    </row>
    <row r="37" spans="1:17" s="150" customFormat="1" ht="18" customHeight="1">
      <c r="A37" s="325"/>
      <c r="B37" s="335" t="s">
        <v>44</v>
      </c>
      <c r="C37" s="144">
        <f>SUM(C38:C43)</f>
        <v>0</v>
      </c>
      <c r="D37" s="143">
        <f aca="true" t="shared" si="19" ref="D37:P37">SUM(D38:D43)</f>
        <v>0</v>
      </c>
      <c r="E37" s="143">
        <f t="shared" si="19"/>
        <v>370</v>
      </c>
      <c r="F37" s="167">
        <f t="shared" si="19"/>
        <v>180</v>
      </c>
      <c r="G37" s="167">
        <f t="shared" si="19"/>
        <v>600</v>
      </c>
      <c r="H37" s="167">
        <f t="shared" si="19"/>
        <v>1150</v>
      </c>
      <c r="I37" s="167">
        <f t="shared" si="19"/>
        <v>0</v>
      </c>
      <c r="J37" s="167">
        <f t="shared" si="19"/>
        <v>205</v>
      </c>
      <c r="K37" s="167">
        <f t="shared" si="19"/>
        <v>400</v>
      </c>
      <c r="L37" s="167">
        <f t="shared" si="19"/>
        <v>400</v>
      </c>
      <c r="M37" s="167">
        <f t="shared" si="19"/>
        <v>1005</v>
      </c>
      <c r="N37" s="167">
        <f t="shared" si="19"/>
        <v>100</v>
      </c>
      <c r="O37" s="167">
        <f t="shared" si="19"/>
        <v>100</v>
      </c>
      <c r="P37" s="287">
        <f t="shared" si="19"/>
        <v>280</v>
      </c>
      <c r="Q37" s="168">
        <f>SUM(H37+M37+N37+O37+P37)</f>
        <v>2635</v>
      </c>
    </row>
    <row r="38" spans="1:17" s="150" customFormat="1" ht="27.75" customHeight="1">
      <c r="A38" s="325"/>
      <c r="B38" s="686" t="s">
        <v>412</v>
      </c>
      <c r="C38" s="144">
        <f>C76+C77+C78</f>
        <v>0</v>
      </c>
      <c r="D38" s="143">
        <f aca="true" t="shared" si="20" ref="D38:P38">D76+D77+D78</f>
        <v>0</v>
      </c>
      <c r="E38" s="143">
        <f t="shared" si="20"/>
        <v>0</v>
      </c>
      <c r="F38" s="167">
        <f t="shared" si="20"/>
        <v>150</v>
      </c>
      <c r="G38" s="167">
        <f t="shared" si="20"/>
        <v>200</v>
      </c>
      <c r="H38" s="167">
        <f t="shared" si="20"/>
        <v>350</v>
      </c>
      <c r="I38" s="167">
        <f t="shared" si="20"/>
        <v>0</v>
      </c>
      <c r="J38" s="167">
        <f t="shared" si="20"/>
        <v>200</v>
      </c>
      <c r="K38" s="167">
        <f t="shared" si="20"/>
        <v>40</v>
      </c>
      <c r="L38" s="167">
        <f t="shared" si="20"/>
        <v>0</v>
      </c>
      <c r="M38" s="167">
        <f t="shared" si="20"/>
        <v>240</v>
      </c>
      <c r="N38" s="167">
        <f t="shared" si="20"/>
        <v>0</v>
      </c>
      <c r="O38" s="167">
        <f t="shared" si="20"/>
        <v>0</v>
      </c>
      <c r="P38" s="287">
        <f t="shared" si="20"/>
        <v>0</v>
      </c>
      <c r="Q38" s="168"/>
    </row>
    <row r="39" spans="1:17" s="150" customFormat="1" ht="27.75" customHeight="1">
      <c r="A39" s="325"/>
      <c r="B39" s="686" t="str">
        <f>B80</f>
        <v>NS Nr.6 elektrifikuoto uždorio D1500 įrengimas</v>
      </c>
      <c r="C39" s="144">
        <f aca="true" t="shared" si="21" ref="C39:P39">C80</f>
        <v>0</v>
      </c>
      <c r="D39" s="143">
        <f t="shared" si="21"/>
        <v>0</v>
      </c>
      <c r="E39" s="143">
        <f t="shared" si="21"/>
        <v>0</v>
      </c>
      <c r="F39" s="167">
        <f t="shared" si="21"/>
        <v>0</v>
      </c>
      <c r="G39" s="167">
        <f t="shared" si="21"/>
        <v>0</v>
      </c>
      <c r="H39" s="167">
        <f t="shared" si="21"/>
        <v>0</v>
      </c>
      <c r="I39" s="167">
        <f t="shared" si="21"/>
        <v>0</v>
      </c>
      <c r="J39" s="167">
        <f t="shared" si="21"/>
        <v>0</v>
      </c>
      <c r="K39" s="167">
        <f t="shared" si="21"/>
        <v>350</v>
      </c>
      <c r="L39" s="167">
        <f t="shared" si="21"/>
        <v>0</v>
      </c>
      <c r="M39" s="167">
        <f t="shared" si="21"/>
        <v>350</v>
      </c>
      <c r="N39" s="167">
        <f t="shared" si="21"/>
        <v>0</v>
      </c>
      <c r="O39" s="167">
        <f t="shared" si="21"/>
        <v>0</v>
      </c>
      <c r="P39" s="287">
        <f t="shared" si="21"/>
        <v>0</v>
      </c>
      <c r="Q39" s="168"/>
    </row>
    <row r="40" spans="1:17" s="150" customFormat="1" ht="27.75" customHeight="1">
      <c r="A40" s="325"/>
      <c r="B40" s="686" t="str">
        <f>B81</f>
        <v>Naujų nuotekų siurblinių įsigijimas </v>
      </c>
      <c r="C40" s="144">
        <f aca="true" t="shared" si="22" ref="C40:P40">C81</f>
        <v>0</v>
      </c>
      <c r="D40" s="143">
        <f t="shared" si="22"/>
        <v>0</v>
      </c>
      <c r="E40" s="143">
        <f t="shared" si="22"/>
        <v>0</v>
      </c>
      <c r="F40" s="167">
        <f t="shared" si="22"/>
        <v>0</v>
      </c>
      <c r="G40" s="167">
        <f t="shared" si="22"/>
        <v>400</v>
      </c>
      <c r="H40" s="167">
        <f t="shared" si="22"/>
        <v>400</v>
      </c>
      <c r="I40" s="167">
        <f t="shared" si="22"/>
        <v>0</v>
      </c>
      <c r="J40" s="167">
        <f t="shared" si="22"/>
        <v>0</v>
      </c>
      <c r="K40" s="167">
        <f t="shared" si="22"/>
        <v>0</v>
      </c>
      <c r="L40" s="167">
        <f t="shared" si="22"/>
        <v>400</v>
      </c>
      <c r="M40" s="167">
        <f t="shared" si="22"/>
        <v>400</v>
      </c>
      <c r="N40" s="167">
        <f t="shared" si="22"/>
        <v>100</v>
      </c>
      <c r="O40" s="167">
        <f t="shared" si="22"/>
        <v>100</v>
      </c>
      <c r="P40" s="287">
        <f t="shared" si="22"/>
        <v>100</v>
      </c>
      <c r="Q40" s="168"/>
    </row>
    <row r="41" spans="1:17" s="150" customFormat="1" ht="27.75" customHeight="1">
      <c r="A41" s="325"/>
      <c r="B41" s="686" t="str">
        <f>B83</f>
        <v>Paskirstymo kamerų uždorių automatizavimas nuotekų valykloje</v>
      </c>
      <c r="C41" s="144">
        <f aca="true" t="shared" si="23" ref="C41:P41">C83</f>
        <v>0</v>
      </c>
      <c r="D41" s="143">
        <f t="shared" si="23"/>
        <v>0</v>
      </c>
      <c r="E41" s="143">
        <f t="shared" si="23"/>
        <v>370</v>
      </c>
      <c r="F41" s="167">
        <f t="shared" si="23"/>
        <v>0</v>
      </c>
      <c r="G41" s="167">
        <f t="shared" si="23"/>
        <v>0</v>
      </c>
      <c r="H41" s="167">
        <f t="shared" si="23"/>
        <v>370</v>
      </c>
      <c r="I41" s="167">
        <f t="shared" si="23"/>
        <v>0</v>
      </c>
      <c r="J41" s="167">
        <f t="shared" si="23"/>
        <v>0</v>
      </c>
      <c r="K41" s="167">
        <f t="shared" si="23"/>
        <v>0</v>
      </c>
      <c r="L41" s="167">
        <f t="shared" si="23"/>
        <v>0</v>
      </c>
      <c r="M41" s="167">
        <f t="shared" si="23"/>
        <v>0</v>
      </c>
      <c r="N41" s="167">
        <f t="shared" si="23"/>
        <v>0</v>
      </c>
      <c r="O41" s="167">
        <f t="shared" si="23"/>
        <v>0</v>
      </c>
      <c r="P41" s="287">
        <f t="shared" si="23"/>
        <v>0</v>
      </c>
      <c r="Q41" s="168"/>
    </row>
    <row r="42" spans="1:17" s="150" customFormat="1" ht="18" customHeight="1">
      <c r="A42" s="325"/>
      <c r="B42" s="327" t="s">
        <v>423</v>
      </c>
      <c r="C42" s="144">
        <f>C85+C86+C87+C88+C89</f>
        <v>0</v>
      </c>
      <c r="D42" s="143">
        <f aca="true" t="shared" si="24" ref="D42:P42">D85+D86+D87+D88+D89</f>
        <v>0</v>
      </c>
      <c r="E42" s="143">
        <f t="shared" si="24"/>
        <v>0</v>
      </c>
      <c r="F42" s="167">
        <f t="shared" si="24"/>
        <v>30</v>
      </c>
      <c r="G42" s="167">
        <f t="shared" si="24"/>
        <v>0</v>
      </c>
      <c r="H42" s="167">
        <f t="shared" si="24"/>
        <v>30</v>
      </c>
      <c r="I42" s="167">
        <f t="shared" si="24"/>
        <v>0</v>
      </c>
      <c r="J42" s="167">
        <f t="shared" si="24"/>
        <v>5</v>
      </c>
      <c r="K42" s="167">
        <f t="shared" si="24"/>
        <v>10</v>
      </c>
      <c r="L42" s="167">
        <f t="shared" si="24"/>
        <v>0</v>
      </c>
      <c r="M42" s="167">
        <f t="shared" si="24"/>
        <v>15</v>
      </c>
      <c r="N42" s="167">
        <f t="shared" si="24"/>
        <v>0</v>
      </c>
      <c r="O42" s="167">
        <f t="shared" si="24"/>
        <v>0</v>
      </c>
      <c r="P42" s="287">
        <f t="shared" si="24"/>
        <v>180</v>
      </c>
      <c r="Q42" s="168"/>
    </row>
    <row r="43" spans="1:18" s="150" customFormat="1" ht="18" customHeight="1">
      <c r="A43" s="325"/>
      <c r="B43" s="165"/>
      <c r="C43" s="144"/>
      <c r="D43" s="143"/>
      <c r="E43" s="143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287"/>
      <c r="Q43" s="168"/>
      <c r="R43" s="169"/>
    </row>
    <row r="44" spans="1:19" s="150" customFormat="1" ht="18" customHeight="1">
      <c r="A44" s="325" t="s">
        <v>172</v>
      </c>
      <c r="B44" s="165" t="s">
        <v>410</v>
      </c>
      <c r="C44" s="144">
        <f>SUM(C54+C62+C46)</f>
        <v>0</v>
      </c>
      <c r="D44" s="143">
        <f>SUM(D54+D62+D45)</f>
        <v>0</v>
      </c>
      <c r="E44" s="143">
        <f>SUM(E54+E62+E45)</f>
        <v>0</v>
      </c>
      <c r="F44" s="167">
        <f>SUM(F54+F62+F45)</f>
        <v>30</v>
      </c>
      <c r="G44" s="167">
        <f>SUM(G54+G62+G45)</f>
        <v>0</v>
      </c>
      <c r="H44" s="167">
        <f>SUM(D44:G44)</f>
        <v>30</v>
      </c>
      <c r="I44" s="167">
        <f aca="true" t="shared" si="25" ref="I44:P44">SUM(I54+I62+I45)</f>
        <v>100</v>
      </c>
      <c r="J44" s="167">
        <f t="shared" si="25"/>
        <v>100</v>
      </c>
      <c r="K44" s="167">
        <f t="shared" si="25"/>
        <v>100</v>
      </c>
      <c r="L44" s="167">
        <f t="shared" si="25"/>
        <v>100</v>
      </c>
      <c r="M44" s="167">
        <f t="shared" si="25"/>
        <v>400</v>
      </c>
      <c r="N44" s="167">
        <f t="shared" si="25"/>
        <v>400</v>
      </c>
      <c r="O44" s="167">
        <f t="shared" si="25"/>
        <v>400</v>
      </c>
      <c r="P44" s="287">
        <f t="shared" si="25"/>
        <v>400</v>
      </c>
      <c r="Q44" s="168">
        <f>H44+M44+N44+O44+P44</f>
        <v>1630</v>
      </c>
      <c r="R44" s="168">
        <f>SUM(Q45+Q54)</f>
        <v>0</v>
      </c>
      <c r="S44" s="168"/>
    </row>
    <row r="45" spans="1:19" s="150" customFormat="1" ht="18" customHeight="1">
      <c r="A45" s="325"/>
      <c r="B45" s="681" t="s">
        <v>43</v>
      </c>
      <c r="C45" s="144">
        <f>SUM(C46:C53)</f>
        <v>0</v>
      </c>
      <c r="D45" s="143">
        <f aca="true" t="shared" si="26" ref="D45:P45">SUM(D46:D53)</f>
        <v>0</v>
      </c>
      <c r="E45" s="143">
        <f t="shared" si="26"/>
        <v>0</v>
      </c>
      <c r="F45" s="167">
        <f t="shared" si="26"/>
        <v>0</v>
      </c>
      <c r="G45" s="167">
        <f t="shared" si="26"/>
        <v>0</v>
      </c>
      <c r="H45" s="167">
        <f t="shared" si="26"/>
        <v>0</v>
      </c>
      <c r="I45" s="167">
        <f t="shared" si="26"/>
        <v>0</v>
      </c>
      <c r="J45" s="167">
        <f t="shared" si="26"/>
        <v>0</v>
      </c>
      <c r="K45" s="167">
        <f t="shared" si="26"/>
        <v>0</v>
      </c>
      <c r="L45" s="167">
        <f t="shared" si="26"/>
        <v>0</v>
      </c>
      <c r="M45" s="167">
        <f t="shared" si="26"/>
        <v>0</v>
      </c>
      <c r="N45" s="167">
        <f t="shared" si="26"/>
        <v>0</v>
      </c>
      <c r="O45" s="167">
        <f t="shared" si="26"/>
        <v>0</v>
      </c>
      <c r="P45" s="287">
        <f t="shared" si="26"/>
        <v>0</v>
      </c>
      <c r="Q45" s="168">
        <f>SUM(H45+M45+N45+O45+P45)</f>
        <v>0</v>
      </c>
      <c r="S45" s="168"/>
    </row>
    <row r="46" spans="1:19" s="150" customFormat="1" ht="31.5" customHeight="1">
      <c r="A46" s="325"/>
      <c r="B46" s="683"/>
      <c r="C46" s="144"/>
      <c r="D46" s="143"/>
      <c r="E46" s="143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287"/>
      <c r="Q46" s="168">
        <f>SUM(H46+M46+N46+O46+P46)</f>
        <v>0</v>
      </c>
      <c r="S46" s="168"/>
    </row>
    <row r="47" spans="1:17" s="150" customFormat="1" ht="18" customHeight="1">
      <c r="A47" s="325"/>
      <c r="B47" s="327"/>
      <c r="C47" s="144"/>
      <c r="D47" s="143"/>
      <c r="E47" s="143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287"/>
      <c r="Q47" s="168">
        <f>SUM(H47+M47+N47+O47+P47)</f>
        <v>0</v>
      </c>
    </row>
    <row r="48" spans="1:17" s="150" customFormat="1" ht="18" customHeight="1">
      <c r="A48" s="325"/>
      <c r="B48" s="327"/>
      <c r="C48" s="144"/>
      <c r="D48" s="143"/>
      <c r="E48" s="143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87"/>
      <c r="Q48" s="168">
        <f>SUM(H48+M48+N48+O48+P48)</f>
        <v>0</v>
      </c>
    </row>
    <row r="49" spans="1:17" s="150" customFormat="1" ht="18" customHeight="1">
      <c r="A49" s="325"/>
      <c r="B49" s="682"/>
      <c r="C49" s="144"/>
      <c r="D49" s="143"/>
      <c r="E49" s="143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287"/>
      <c r="Q49" s="168"/>
    </row>
    <row r="50" spans="1:17" s="150" customFormat="1" ht="18" customHeight="1">
      <c r="A50" s="325"/>
      <c r="B50" s="682"/>
      <c r="C50" s="144"/>
      <c r="D50" s="143"/>
      <c r="E50" s="143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287"/>
      <c r="Q50" s="168"/>
    </row>
    <row r="51" spans="1:17" s="150" customFormat="1" ht="18" customHeight="1">
      <c r="A51" s="325"/>
      <c r="B51" s="682"/>
      <c r="C51" s="144"/>
      <c r="D51" s="143"/>
      <c r="E51" s="143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287"/>
      <c r="Q51" s="168"/>
    </row>
    <row r="52" spans="1:17" s="150" customFormat="1" ht="18" customHeight="1">
      <c r="A52" s="325"/>
      <c r="B52" s="680"/>
      <c r="C52" s="144"/>
      <c r="D52" s="143"/>
      <c r="E52" s="143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287"/>
      <c r="Q52" s="168"/>
    </row>
    <row r="53" spans="1:17" s="150" customFormat="1" ht="18" customHeight="1">
      <c r="A53" s="325"/>
      <c r="B53" s="680"/>
      <c r="C53" s="144"/>
      <c r="D53" s="143"/>
      <c r="E53" s="143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287"/>
      <c r="Q53" s="168"/>
    </row>
    <row r="54" spans="1:17" s="150" customFormat="1" ht="18" customHeight="1">
      <c r="A54" s="325"/>
      <c r="B54" s="335" t="s">
        <v>46</v>
      </c>
      <c r="C54" s="144">
        <f aca="true" t="shared" si="27" ref="C54:P54">SUM(C55:C61)</f>
        <v>0</v>
      </c>
      <c r="D54" s="143">
        <f t="shared" si="27"/>
        <v>0</v>
      </c>
      <c r="E54" s="143">
        <f t="shared" si="27"/>
        <v>0</v>
      </c>
      <c r="F54" s="167">
        <f t="shared" si="27"/>
        <v>0</v>
      </c>
      <c r="G54" s="167">
        <f t="shared" si="27"/>
        <v>0</v>
      </c>
      <c r="H54" s="167">
        <f t="shared" si="27"/>
        <v>0</v>
      </c>
      <c r="I54" s="167">
        <f t="shared" si="27"/>
        <v>0</v>
      </c>
      <c r="J54" s="167">
        <f t="shared" si="27"/>
        <v>0</v>
      </c>
      <c r="K54" s="167">
        <f t="shared" si="27"/>
        <v>0</v>
      </c>
      <c r="L54" s="167">
        <f t="shared" si="27"/>
        <v>0</v>
      </c>
      <c r="M54" s="167">
        <f t="shared" si="27"/>
        <v>0</v>
      </c>
      <c r="N54" s="167">
        <f t="shared" si="27"/>
        <v>0</v>
      </c>
      <c r="O54" s="167">
        <f t="shared" si="27"/>
        <v>0</v>
      </c>
      <c r="P54" s="287">
        <f t="shared" si="27"/>
        <v>0</v>
      </c>
      <c r="Q54" s="168">
        <f>H54+M54+N54+O54+P54</f>
        <v>0</v>
      </c>
    </row>
    <row r="55" spans="1:17" s="150" customFormat="1" ht="26.25" customHeight="1">
      <c r="A55" s="325"/>
      <c r="B55" s="327"/>
      <c r="C55" s="677"/>
      <c r="D55" s="143"/>
      <c r="E55" s="143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87"/>
      <c r="Q55" s="168"/>
    </row>
    <row r="56" spans="1:17" s="150" customFormat="1" ht="18" customHeight="1">
      <c r="A56" s="325"/>
      <c r="B56" s="327"/>
      <c r="C56" s="144"/>
      <c r="D56" s="143"/>
      <c r="E56" s="143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287"/>
      <c r="Q56" s="168"/>
    </row>
    <row r="57" spans="1:17" s="150" customFormat="1" ht="26.25" customHeight="1">
      <c r="A57" s="325"/>
      <c r="B57" s="327"/>
      <c r="C57" s="144"/>
      <c r="D57" s="143"/>
      <c r="E57" s="143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287"/>
      <c r="Q57" s="168"/>
    </row>
    <row r="58" spans="1:17" s="150" customFormat="1" ht="26.25" customHeight="1">
      <c r="A58" s="325"/>
      <c r="B58" s="327"/>
      <c r="C58" s="144"/>
      <c r="D58" s="143"/>
      <c r="E58" s="143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87"/>
      <c r="Q58" s="168"/>
    </row>
    <row r="59" spans="1:17" s="150" customFormat="1" ht="26.25" customHeight="1">
      <c r="A59" s="325"/>
      <c r="B59" s="327"/>
      <c r="C59" s="144"/>
      <c r="D59" s="143"/>
      <c r="E59" s="143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287"/>
      <c r="Q59" s="168"/>
    </row>
    <row r="60" spans="1:17" s="150" customFormat="1" ht="26.25" customHeight="1">
      <c r="A60" s="325"/>
      <c r="B60" s="327"/>
      <c r="C60" s="144"/>
      <c r="D60" s="143"/>
      <c r="E60" s="143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287"/>
      <c r="Q60" s="168"/>
    </row>
    <row r="61" spans="1:17" s="150" customFormat="1" ht="30.75" customHeight="1">
      <c r="A61" s="325"/>
      <c r="B61" s="327"/>
      <c r="C61" s="144"/>
      <c r="D61" s="143"/>
      <c r="E61" s="143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87"/>
      <c r="Q61" s="168"/>
    </row>
    <row r="62" spans="1:17" s="150" customFormat="1" ht="18" customHeight="1">
      <c r="A62" s="325"/>
      <c r="B62" s="335" t="s">
        <v>44</v>
      </c>
      <c r="C62" s="144">
        <f>SUM(C63:C66)</f>
        <v>0</v>
      </c>
      <c r="D62" s="143">
        <f aca="true" t="shared" si="28" ref="D62:P62">SUM(D63:D66)</f>
        <v>0</v>
      </c>
      <c r="E62" s="143">
        <f t="shared" si="28"/>
        <v>0</v>
      </c>
      <c r="F62" s="167">
        <f t="shared" si="28"/>
        <v>30</v>
      </c>
      <c r="G62" s="167">
        <f t="shared" si="28"/>
        <v>0</v>
      </c>
      <c r="H62" s="167">
        <f t="shared" si="28"/>
        <v>30</v>
      </c>
      <c r="I62" s="167">
        <f t="shared" si="28"/>
        <v>100</v>
      </c>
      <c r="J62" s="167">
        <f t="shared" si="28"/>
        <v>100</v>
      </c>
      <c r="K62" s="167">
        <f t="shared" si="28"/>
        <v>100</v>
      </c>
      <c r="L62" s="167">
        <f t="shared" si="28"/>
        <v>100</v>
      </c>
      <c r="M62" s="167">
        <f t="shared" si="28"/>
        <v>400</v>
      </c>
      <c r="N62" s="167">
        <f t="shared" si="28"/>
        <v>400</v>
      </c>
      <c r="O62" s="167">
        <f t="shared" si="28"/>
        <v>400</v>
      </c>
      <c r="P62" s="287">
        <f t="shared" si="28"/>
        <v>400</v>
      </c>
      <c r="Q62" s="168">
        <f>SUM(H62+M62+N62+O62+P62)</f>
        <v>1630</v>
      </c>
    </row>
    <row r="63" spans="1:17" s="150" customFormat="1" ht="17.25" customHeight="1">
      <c r="A63" s="325"/>
      <c r="B63" s="327" t="str">
        <f>B79</f>
        <v>NS Karklėje aptarnavimo aikštelių įrengimas</v>
      </c>
      <c r="C63" s="144">
        <f aca="true" t="shared" si="29" ref="C63:P63">C79</f>
        <v>0</v>
      </c>
      <c r="D63" s="143">
        <f t="shared" si="29"/>
        <v>0</v>
      </c>
      <c r="E63" s="143">
        <f t="shared" si="29"/>
        <v>0</v>
      </c>
      <c r="F63" s="167">
        <f t="shared" si="29"/>
        <v>30</v>
      </c>
      <c r="G63" s="167">
        <f t="shared" si="29"/>
        <v>0</v>
      </c>
      <c r="H63" s="167">
        <f t="shared" si="29"/>
        <v>30</v>
      </c>
      <c r="I63" s="167">
        <f t="shared" si="29"/>
        <v>0</v>
      </c>
      <c r="J63" s="167">
        <f t="shared" si="29"/>
        <v>0</v>
      </c>
      <c r="K63" s="167">
        <f t="shared" si="29"/>
        <v>0</v>
      </c>
      <c r="L63" s="167">
        <f t="shared" si="29"/>
        <v>0</v>
      </c>
      <c r="M63" s="167">
        <f t="shared" si="29"/>
        <v>0</v>
      </c>
      <c r="N63" s="167">
        <f t="shared" si="29"/>
        <v>0</v>
      </c>
      <c r="O63" s="167">
        <f t="shared" si="29"/>
        <v>0</v>
      </c>
      <c r="P63" s="287">
        <f t="shared" si="29"/>
        <v>0</v>
      </c>
      <c r="Q63" s="168"/>
    </row>
    <row r="64" spans="1:17" s="150" customFormat="1" ht="32.25" customHeight="1">
      <c r="A64" s="325"/>
      <c r="B64" s="327" t="str">
        <f>B114</f>
        <v>Mažų nuotekų valyklų įrengimas Klaipėdos rajone</v>
      </c>
      <c r="C64" s="144">
        <f aca="true" t="shared" si="30" ref="C64:P64">C114</f>
        <v>0</v>
      </c>
      <c r="D64" s="143">
        <f t="shared" si="30"/>
        <v>0</v>
      </c>
      <c r="E64" s="143">
        <f t="shared" si="30"/>
        <v>0</v>
      </c>
      <c r="F64" s="167">
        <f t="shared" si="30"/>
        <v>0</v>
      </c>
      <c r="G64" s="167">
        <f t="shared" si="30"/>
        <v>0</v>
      </c>
      <c r="H64" s="167">
        <f t="shared" si="30"/>
        <v>0</v>
      </c>
      <c r="I64" s="167">
        <f t="shared" si="30"/>
        <v>100</v>
      </c>
      <c r="J64" s="167">
        <f t="shared" si="30"/>
        <v>100</v>
      </c>
      <c r="K64" s="167">
        <f t="shared" si="30"/>
        <v>100</v>
      </c>
      <c r="L64" s="167">
        <f t="shared" si="30"/>
        <v>100</v>
      </c>
      <c r="M64" s="167">
        <f t="shared" si="30"/>
        <v>400</v>
      </c>
      <c r="N64" s="167">
        <f t="shared" si="30"/>
        <v>400</v>
      </c>
      <c r="O64" s="167">
        <f t="shared" si="30"/>
        <v>400</v>
      </c>
      <c r="P64" s="287">
        <f t="shared" si="30"/>
        <v>400</v>
      </c>
      <c r="Q64" s="168"/>
    </row>
    <row r="65" spans="1:17" s="150" customFormat="1" ht="18" customHeight="1">
      <c r="A65" s="325"/>
      <c r="B65" s="327"/>
      <c r="C65" s="144"/>
      <c r="D65" s="143"/>
      <c r="E65" s="143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287"/>
      <c r="Q65" s="168"/>
    </row>
    <row r="66" spans="1:17" s="150" customFormat="1" ht="18" customHeight="1">
      <c r="A66" s="325"/>
      <c r="B66" s="327"/>
      <c r="C66" s="144"/>
      <c r="D66" s="143"/>
      <c r="E66" s="143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287"/>
      <c r="Q66" s="168"/>
    </row>
    <row r="67" spans="1:16" ht="16.5" customHeight="1">
      <c r="A67" s="112"/>
      <c r="B67" s="113" t="s">
        <v>275</v>
      </c>
      <c r="C67" s="119">
        <f>C68+C69+C74+C108</f>
        <v>0</v>
      </c>
      <c r="D67" s="120"/>
      <c r="E67" s="117"/>
      <c r="F67" s="117"/>
      <c r="G67" s="121"/>
      <c r="H67" s="448"/>
      <c r="I67" s="449"/>
      <c r="J67" s="450"/>
      <c r="K67" s="450"/>
      <c r="L67" s="451"/>
      <c r="M67" s="448"/>
      <c r="N67" s="448"/>
      <c r="O67" s="448"/>
      <c r="P67" s="448"/>
    </row>
    <row r="68" spans="1:18" ht="16.5" customHeight="1">
      <c r="A68" s="123"/>
      <c r="B68" s="124"/>
      <c r="C68" s="131">
        <f>C69+C74+C90</f>
        <v>0</v>
      </c>
      <c r="D68" s="132">
        <f aca="true" t="shared" si="31" ref="D68:P68">D69+D74+D90</f>
        <v>654.5</v>
      </c>
      <c r="E68" s="128">
        <f t="shared" si="31"/>
        <v>1745</v>
      </c>
      <c r="F68" s="128">
        <f t="shared" si="31"/>
        <v>2071</v>
      </c>
      <c r="G68" s="129">
        <f t="shared" si="31"/>
        <v>1528</v>
      </c>
      <c r="H68" s="133">
        <f t="shared" si="31"/>
        <v>5998.5</v>
      </c>
      <c r="I68" s="132">
        <f t="shared" si="31"/>
        <v>115</v>
      </c>
      <c r="J68" s="128">
        <f t="shared" si="31"/>
        <v>620</v>
      </c>
      <c r="K68" s="128">
        <f t="shared" si="31"/>
        <v>1355</v>
      </c>
      <c r="L68" s="129">
        <f t="shared" si="31"/>
        <v>768</v>
      </c>
      <c r="M68" s="133">
        <f t="shared" si="31"/>
        <v>2858</v>
      </c>
      <c r="N68" s="133">
        <f t="shared" si="31"/>
        <v>1560</v>
      </c>
      <c r="O68" s="133">
        <f t="shared" si="31"/>
        <v>1160</v>
      </c>
      <c r="P68" s="133">
        <f t="shared" si="31"/>
        <v>1270</v>
      </c>
      <c r="Q68" s="34">
        <f>SUM(H68+M68+N68+O68+P68)</f>
        <v>12846.5</v>
      </c>
      <c r="R68" s="34">
        <f>Q69+Q74+Q90</f>
        <v>12846.5</v>
      </c>
    </row>
    <row r="69" spans="1:17" ht="16.5" customHeight="1">
      <c r="A69" s="123" t="s">
        <v>34</v>
      </c>
      <c r="B69" s="124" t="s">
        <v>43</v>
      </c>
      <c r="C69" s="131">
        <f>C71</f>
        <v>0</v>
      </c>
      <c r="D69" s="132">
        <f aca="true" t="shared" si="32" ref="D69:P69">D71</f>
        <v>100</v>
      </c>
      <c r="E69" s="128">
        <f t="shared" si="32"/>
        <v>0</v>
      </c>
      <c r="F69" s="128">
        <f t="shared" si="32"/>
        <v>0</v>
      </c>
      <c r="G69" s="129">
        <f t="shared" si="32"/>
        <v>0</v>
      </c>
      <c r="H69" s="135">
        <f>SUM(D69:G69)</f>
        <v>100</v>
      </c>
      <c r="I69" s="132">
        <f t="shared" si="32"/>
        <v>0</v>
      </c>
      <c r="J69" s="128">
        <f t="shared" si="32"/>
        <v>0</v>
      </c>
      <c r="K69" s="128">
        <f t="shared" si="32"/>
        <v>0</v>
      </c>
      <c r="L69" s="129">
        <f t="shared" si="32"/>
        <v>0</v>
      </c>
      <c r="M69" s="135">
        <f t="shared" si="32"/>
        <v>0</v>
      </c>
      <c r="N69" s="133">
        <f t="shared" si="32"/>
        <v>0</v>
      </c>
      <c r="O69" s="133">
        <f t="shared" si="32"/>
        <v>0</v>
      </c>
      <c r="P69" s="133">
        <f t="shared" si="32"/>
        <v>0</v>
      </c>
      <c r="Q69" s="34">
        <f>SUM(H69+M69+N69+O69+P69)</f>
        <v>100</v>
      </c>
    </row>
    <row r="70" spans="1:16" ht="24" customHeight="1">
      <c r="A70" s="136" t="s">
        <v>35</v>
      </c>
      <c r="B70" s="452" t="s">
        <v>276</v>
      </c>
      <c r="C70" s="144"/>
      <c r="D70" s="453">
        <v>88</v>
      </c>
      <c r="E70" s="454">
        <v>139.6</v>
      </c>
      <c r="F70" s="454">
        <v>441.6</v>
      </c>
      <c r="G70" s="455">
        <v>192.1</v>
      </c>
      <c r="H70" s="209">
        <f>SUM(D70:G70)</f>
        <v>861.3000000000001</v>
      </c>
      <c r="I70" s="456">
        <v>323</v>
      </c>
      <c r="J70" s="457"/>
      <c r="K70" s="457"/>
      <c r="L70" s="146"/>
      <c r="M70" s="209">
        <f aca="true" t="shared" si="33" ref="M70:M100">SUM(I70:L70)</f>
        <v>323</v>
      </c>
      <c r="N70" s="148"/>
      <c r="O70" s="148"/>
      <c r="P70" s="148"/>
    </row>
    <row r="71" spans="1:16" ht="24" customHeight="1">
      <c r="A71" s="136" t="s">
        <v>36</v>
      </c>
      <c r="B71" s="452" t="s">
        <v>277</v>
      </c>
      <c r="C71" s="144"/>
      <c r="D71" s="457">
        <v>100</v>
      </c>
      <c r="E71" s="457"/>
      <c r="F71" s="457"/>
      <c r="G71" s="146"/>
      <c r="H71" s="209">
        <f>SUM(D71:G71)</f>
        <v>100</v>
      </c>
      <c r="I71" s="145"/>
      <c r="J71" s="141"/>
      <c r="K71" s="141"/>
      <c r="L71" s="146"/>
      <c r="M71" s="209">
        <f t="shared" si="33"/>
        <v>0</v>
      </c>
      <c r="N71" s="148"/>
      <c r="O71" s="148"/>
      <c r="P71" s="148"/>
    </row>
    <row r="72" spans="1:16" ht="16.5" customHeight="1">
      <c r="A72" s="136" t="s">
        <v>37</v>
      </c>
      <c r="B72" s="137"/>
      <c r="C72" s="144"/>
      <c r="D72" s="145"/>
      <c r="E72" s="141"/>
      <c r="F72" s="141"/>
      <c r="G72" s="146"/>
      <c r="H72" s="209">
        <f>SUM(D72:G72)</f>
        <v>0</v>
      </c>
      <c r="I72" s="145"/>
      <c r="J72" s="141"/>
      <c r="K72" s="141"/>
      <c r="L72" s="146"/>
      <c r="M72" s="209">
        <f t="shared" si="33"/>
        <v>0</v>
      </c>
      <c r="N72" s="148"/>
      <c r="O72" s="148"/>
      <c r="P72" s="148"/>
    </row>
    <row r="73" spans="1:16" ht="16.5" customHeight="1">
      <c r="A73" s="136" t="s">
        <v>38</v>
      </c>
      <c r="B73" s="137"/>
      <c r="C73" s="144"/>
      <c r="D73" s="145"/>
      <c r="E73" s="141"/>
      <c r="F73" s="141"/>
      <c r="G73" s="146"/>
      <c r="H73" s="209">
        <f>SUM(D73:G73)</f>
        <v>0</v>
      </c>
      <c r="I73" s="145"/>
      <c r="J73" s="141"/>
      <c r="K73" s="141"/>
      <c r="L73" s="146"/>
      <c r="M73" s="209">
        <f t="shared" si="33"/>
        <v>0</v>
      </c>
      <c r="N73" s="148"/>
      <c r="O73" s="148"/>
      <c r="P73" s="148"/>
    </row>
    <row r="74" spans="1:17" s="150" customFormat="1" ht="16.5" customHeight="1">
      <c r="A74" s="149" t="s">
        <v>45</v>
      </c>
      <c r="B74" s="124" t="s">
        <v>44</v>
      </c>
      <c r="C74" s="131">
        <f>SUM(C75+C82+C84)</f>
        <v>0</v>
      </c>
      <c r="D74" s="132">
        <f aca="true" t="shared" si="34" ref="D74:P74">SUM(D75+D82+D84)</f>
        <v>0</v>
      </c>
      <c r="E74" s="128">
        <f t="shared" si="34"/>
        <v>370</v>
      </c>
      <c r="F74" s="128">
        <f t="shared" si="34"/>
        <v>210</v>
      </c>
      <c r="G74" s="129">
        <f t="shared" si="34"/>
        <v>600</v>
      </c>
      <c r="H74" s="128">
        <f t="shared" si="34"/>
        <v>1180</v>
      </c>
      <c r="I74" s="132">
        <f t="shared" si="34"/>
        <v>0</v>
      </c>
      <c r="J74" s="128">
        <f t="shared" si="34"/>
        <v>205</v>
      </c>
      <c r="K74" s="128">
        <f t="shared" si="34"/>
        <v>400</v>
      </c>
      <c r="L74" s="129">
        <f t="shared" si="34"/>
        <v>400</v>
      </c>
      <c r="M74" s="128">
        <f t="shared" si="34"/>
        <v>1005</v>
      </c>
      <c r="N74" s="133">
        <f t="shared" si="34"/>
        <v>100</v>
      </c>
      <c r="O74" s="133">
        <f t="shared" si="34"/>
        <v>100</v>
      </c>
      <c r="P74" s="133">
        <f t="shared" si="34"/>
        <v>280</v>
      </c>
      <c r="Q74" s="150">
        <f>SUM(H74+M74+N74+O74+P74)</f>
        <v>2665</v>
      </c>
    </row>
    <row r="75" spans="1:16" s="279" customFormat="1" ht="16.5" customHeight="1">
      <c r="A75" s="458"/>
      <c r="B75" s="459" t="s">
        <v>278</v>
      </c>
      <c r="C75" s="227">
        <f>SUM(C76:C81)</f>
        <v>0</v>
      </c>
      <c r="D75" s="228">
        <f aca="true" t="shared" si="35" ref="D75:P75">SUM(D76:D81)</f>
        <v>0</v>
      </c>
      <c r="E75" s="225">
        <f t="shared" si="35"/>
        <v>0</v>
      </c>
      <c r="F75" s="225">
        <f t="shared" si="35"/>
        <v>180</v>
      </c>
      <c r="G75" s="229">
        <f t="shared" si="35"/>
        <v>600</v>
      </c>
      <c r="H75" s="209">
        <f aca="true" t="shared" si="36" ref="H75:H81">SUM(D75:G75)</f>
        <v>780</v>
      </c>
      <c r="I75" s="228">
        <f t="shared" si="35"/>
        <v>0</v>
      </c>
      <c r="J75" s="225">
        <f t="shared" si="35"/>
        <v>200</v>
      </c>
      <c r="K75" s="225">
        <f t="shared" si="35"/>
        <v>390</v>
      </c>
      <c r="L75" s="229">
        <f t="shared" si="35"/>
        <v>400</v>
      </c>
      <c r="M75" s="209">
        <f t="shared" si="35"/>
        <v>990</v>
      </c>
      <c r="N75" s="231">
        <f t="shared" si="35"/>
        <v>100</v>
      </c>
      <c r="O75" s="231">
        <f t="shared" si="35"/>
        <v>100</v>
      </c>
      <c r="P75" s="231">
        <f t="shared" si="35"/>
        <v>100</v>
      </c>
    </row>
    <row r="76" spans="1:16" s="466" customFormat="1" ht="12">
      <c r="A76" s="460" t="s">
        <v>47</v>
      </c>
      <c r="B76" s="461" t="s">
        <v>279</v>
      </c>
      <c r="C76" s="463"/>
      <c r="D76" s="464"/>
      <c r="E76" s="462"/>
      <c r="F76" s="462">
        <v>100</v>
      </c>
      <c r="G76" s="465">
        <v>200</v>
      </c>
      <c r="H76" s="209">
        <f t="shared" si="36"/>
        <v>300</v>
      </c>
      <c r="I76" s="464"/>
      <c r="J76" s="462"/>
      <c r="K76" s="462"/>
      <c r="L76" s="465"/>
      <c r="M76" s="209">
        <f t="shared" si="33"/>
        <v>0</v>
      </c>
      <c r="N76" s="463"/>
      <c r="O76" s="463"/>
      <c r="P76" s="463"/>
    </row>
    <row r="77" spans="1:16" s="466" customFormat="1" ht="12">
      <c r="A77" s="460" t="s">
        <v>50</v>
      </c>
      <c r="B77" s="461" t="s">
        <v>280</v>
      </c>
      <c r="C77" s="463"/>
      <c r="D77" s="464"/>
      <c r="E77" s="462"/>
      <c r="F77" s="462">
        <v>50</v>
      </c>
      <c r="G77" s="465"/>
      <c r="H77" s="209">
        <f t="shared" si="36"/>
        <v>50</v>
      </c>
      <c r="I77" s="464"/>
      <c r="J77" s="462"/>
      <c r="K77" s="462">
        <v>40</v>
      </c>
      <c r="L77" s="465"/>
      <c r="M77" s="209">
        <f t="shared" si="33"/>
        <v>40</v>
      </c>
      <c r="N77" s="463"/>
      <c r="O77" s="463"/>
      <c r="P77" s="463"/>
    </row>
    <row r="78" spans="1:16" s="466" customFormat="1" ht="12">
      <c r="A78" s="460" t="s">
        <v>51</v>
      </c>
      <c r="B78" s="467" t="s">
        <v>281</v>
      </c>
      <c r="C78" s="463"/>
      <c r="D78" s="464"/>
      <c r="E78" s="462"/>
      <c r="F78" s="462"/>
      <c r="G78" s="465"/>
      <c r="H78" s="209">
        <f t="shared" si="36"/>
        <v>0</v>
      </c>
      <c r="I78" s="464"/>
      <c r="J78" s="462">
        <v>200</v>
      </c>
      <c r="K78" s="462"/>
      <c r="L78" s="465"/>
      <c r="M78" s="209">
        <f t="shared" si="33"/>
        <v>200</v>
      </c>
      <c r="N78" s="463"/>
      <c r="O78" s="463"/>
      <c r="P78" s="463"/>
    </row>
    <row r="79" spans="1:16" s="466" customFormat="1" ht="12">
      <c r="A79" s="460" t="s">
        <v>52</v>
      </c>
      <c r="B79" s="467" t="s">
        <v>282</v>
      </c>
      <c r="C79" s="463"/>
      <c r="D79" s="464"/>
      <c r="E79" s="462"/>
      <c r="F79" s="462">
        <v>30</v>
      </c>
      <c r="G79" s="465"/>
      <c r="H79" s="209">
        <f t="shared" si="36"/>
        <v>30</v>
      </c>
      <c r="I79" s="464"/>
      <c r="J79" s="462"/>
      <c r="K79" s="462"/>
      <c r="L79" s="465"/>
      <c r="M79" s="209">
        <f t="shared" si="33"/>
        <v>0</v>
      </c>
      <c r="N79" s="463"/>
      <c r="O79" s="463"/>
      <c r="P79" s="463"/>
    </row>
    <row r="80" spans="1:16" s="466" customFormat="1" ht="24">
      <c r="A80" s="460" t="s">
        <v>53</v>
      </c>
      <c r="B80" s="461" t="s">
        <v>283</v>
      </c>
      <c r="C80" s="463"/>
      <c r="D80" s="464"/>
      <c r="E80" s="462"/>
      <c r="F80" s="462"/>
      <c r="G80" s="465"/>
      <c r="H80" s="209">
        <f t="shared" si="36"/>
        <v>0</v>
      </c>
      <c r="I80" s="464"/>
      <c r="J80" s="462"/>
      <c r="K80" s="462">
        <v>350</v>
      </c>
      <c r="L80" s="465"/>
      <c r="M80" s="209">
        <f t="shared" si="33"/>
        <v>350</v>
      </c>
      <c r="N80" s="468"/>
      <c r="O80" s="469"/>
      <c r="P80" s="469"/>
    </row>
    <row r="81" spans="1:16" s="466" customFormat="1" ht="12">
      <c r="A81" s="460" t="s">
        <v>62</v>
      </c>
      <c r="B81" s="461" t="s">
        <v>411</v>
      </c>
      <c r="C81" s="463"/>
      <c r="D81" s="464"/>
      <c r="E81" s="462"/>
      <c r="F81" s="462"/>
      <c r="G81" s="465">
        <v>400</v>
      </c>
      <c r="H81" s="209">
        <f t="shared" si="36"/>
        <v>400</v>
      </c>
      <c r="I81" s="464"/>
      <c r="J81" s="462"/>
      <c r="K81" s="462"/>
      <c r="L81" s="465">
        <v>400</v>
      </c>
      <c r="M81" s="209">
        <f t="shared" si="33"/>
        <v>400</v>
      </c>
      <c r="N81" s="463">
        <v>100</v>
      </c>
      <c r="O81" s="465">
        <v>100</v>
      </c>
      <c r="P81" s="465">
        <v>100</v>
      </c>
    </row>
    <row r="82" spans="1:16" s="279" customFormat="1" ht="16.5" customHeight="1">
      <c r="A82" s="458"/>
      <c r="B82" s="459" t="s">
        <v>275</v>
      </c>
      <c r="C82" s="227">
        <f>SUM(C83)</f>
        <v>0</v>
      </c>
      <c r="D82" s="228">
        <f aca="true" t="shared" si="37" ref="D82:P82">SUM(D83)</f>
        <v>0</v>
      </c>
      <c r="E82" s="225">
        <f t="shared" si="37"/>
        <v>370</v>
      </c>
      <c r="F82" s="225">
        <f t="shared" si="37"/>
        <v>0</v>
      </c>
      <c r="G82" s="229">
        <f t="shared" si="37"/>
        <v>0</v>
      </c>
      <c r="H82" s="209">
        <f t="shared" si="37"/>
        <v>370</v>
      </c>
      <c r="I82" s="470">
        <f t="shared" si="37"/>
        <v>0</v>
      </c>
      <c r="J82" s="471">
        <f t="shared" si="37"/>
        <v>0</v>
      </c>
      <c r="K82" s="471">
        <f t="shared" si="37"/>
        <v>0</v>
      </c>
      <c r="L82" s="472">
        <f t="shared" si="37"/>
        <v>0</v>
      </c>
      <c r="M82" s="209">
        <f t="shared" si="37"/>
        <v>0</v>
      </c>
      <c r="N82" s="473">
        <f t="shared" si="37"/>
        <v>0</v>
      </c>
      <c r="O82" s="231">
        <f t="shared" si="37"/>
        <v>0</v>
      </c>
      <c r="P82" s="231">
        <f t="shared" si="37"/>
        <v>0</v>
      </c>
    </row>
    <row r="83" spans="1:16" s="150" customFormat="1" ht="27.75" customHeight="1">
      <c r="A83" s="474" t="s">
        <v>284</v>
      </c>
      <c r="B83" s="452" t="s">
        <v>413</v>
      </c>
      <c r="C83" s="144"/>
      <c r="D83" s="145"/>
      <c r="E83" s="457">
        <v>370</v>
      </c>
      <c r="F83" s="457"/>
      <c r="G83" s="146"/>
      <c r="H83" s="209">
        <f>SUM(D83:G83)</f>
        <v>370</v>
      </c>
      <c r="I83" s="456"/>
      <c r="J83" s="457"/>
      <c r="K83" s="457"/>
      <c r="L83" s="475"/>
      <c r="M83" s="209">
        <f t="shared" si="33"/>
        <v>0</v>
      </c>
      <c r="N83" s="148"/>
      <c r="O83" s="148"/>
      <c r="P83" s="148"/>
    </row>
    <row r="84" spans="1:16" s="279" customFormat="1" ht="16.5" customHeight="1">
      <c r="A84" s="458"/>
      <c r="B84" s="459" t="s">
        <v>285</v>
      </c>
      <c r="C84" s="227">
        <f>SUM(C85:C89)</f>
        <v>0</v>
      </c>
      <c r="D84" s="228">
        <f aca="true" t="shared" si="38" ref="D84:P84">SUM(D85:D89)</f>
        <v>0</v>
      </c>
      <c r="E84" s="225">
        <f t="shared" si="38"/>
        <v>0</v>
      </c>
      <c r="F84" s="225">
        <f t="shared" si="38"/>
        <v>30</v>
      </c>
      <c r="G84" s="229">
        <f t="shared" si="38"/>
        <v>0</v>
      </c>
      <c r="H84" s="209">
        <f t="shared" si="38"/>
        <v>30</v>
      </c>
      <c r="I84" s="470">
        <f t="shared" si="38"/>
        <v>0</v>
      </c>
      <c r="J84" s="471">
        <f t="shared" si="38"/>
        <v>5</v>
      </c>
      <c r="K84" s="471">
        <f t="shared" si="38"/>
        <v>10</v>
      </c>
      <c r="L84" s="472">
        <f t="shared" si="38"/>
        <v>0</v>
      </c>
      <c r="M84" s="209">
        <f t="shared" si="38"/>
        <v>15</v>
      </c>
      <c r="N84" s="231">
        <f t="shared" si="38"/>
        <v>0</v>
      </c>
      <c r="O84" s="231">
        <f t="shared" si="38"/>
        <v>0</v>
      </c>
      <c r="P84" s="231">
        <f t="shared" si="38"/>
        <v>180</v>
      </c>
    </row>
    <row r="85" spans="1:16" s="478" customFormat="1" ht="12">
      <c r="A85" s="474" t="s">
        <v>286</v>
      </c>
      <c r="B85" s="476" t="s">
        <v>287</v>
      </c>
      <c r="C85" s="477"/>
      <c r="D85" s="145"/>
      <c r="E85" s="141"/>
      <c r="F85" s="457">
        <v>30</v>
      </c>
      <c r="G85" s="146"/>
      <c r="H85" s="209">
        <f>SUM(D85:G85)</f>
        <v>30</v>
      </c>
      <c r="I85" s="456"/>
      <c r="J85" s="457"/>
      <c r="K85" s="457"/>
      <c r="L85" s="475"/>
      <c r="M85" s="209">
        <f t="shared" si="33"/>
        <v>0</v>
      </c>
      <c r="N85" s="148"/>
      <c r="O85" s="148"/>
      <c r="P85" s="148"/>
    </row>
    <row r="86" spans="1:16" s="478" customFormat="1" ht="12">
      <c r="A86" s="474" t="s">
        <v>288</v>
      </c>
      <c r="B86" s="479" t="s">
        <v>289</v>
      </c>
      <c r="C86" s="144"/>
      <c r="D86" s="145"/>
      <c r="E86" s="141"/>
      <c r="F86" s="141"/>
      <c r="G86" s="146"/>
      <c r="H86" s="209">
        <f>SUM(D86:G86)</f>
        <v>0</v>
      </c>
      <c r="I86" s="456"/>
      <c r="J86" s="475">
        <v>5</v>
      </c>
      <c r="K86" s="457"/>
      <c r="L86" s="475"/>
      <c r="M86" s="209">
        <f t="shared" si="33"/>
        <v>5</v>
      </c>
      <c r="N86" s="148"/>
      <c r="O86" s="148"/>
      <c r="P86" s="148"/>
    </row>
    <row r="87" spans="1:16" s="478" customFormat="1" ht="12">
      <c r="A87" s="474" t="s">
        <v>290</v>
      </c>
      <c r="B87" s="479" t="s">
        <v>291</v>
      </c>
      <c r="C87" s="144"/>
      <c r="D87" s="145"/>
      <c r="E87" s="141"/>
      <c r="F87" s="141"/>
      <c r="G87" s="146"/>
      <c r="H87" s="209">
        <f>SUM(D87:G87)</f>
        <v>0</v>
      </c>
      <c r="I87" s="456"/>
      <c r="J87" s="457"/>
      <c r="K87" s="457">
        <v>10</v>
      </c>
      <c r="L87" s="475"/>
      <c r="M87" s="209">
        <f t="shared" si="33"/>
        <v>10</v>
      </c>
      <c r="N87" s="148"/>
      <c r="O87" s="148"/>
      <c r="P87" s="480"/>
    </row>
    <row r="88" spans="1:16" s="478" customFormat="1" ht="12">
      <c r="A88" s="474" t="s">
        <v>292</v>
      </c>
      <c r="B88" s="479" t="s">
        <v>293</v>
      </c>
      <c r="C88" s="144"/>
      <c r="D88" s="145"/>
      <c r="E88" s="141"/>
      <c r="F88" s="141"/>
      <c r="G88" s="146"/>
      <c r="H88" s="209">
        <f>SUM(D88:G88)</f>
        <v>0</v>
      </c>
      <c r="I88" s="456"/>
      <c r="J88" s="457"/>
      <c r="K88" s="457"/>
      <c r="L88" s="475"/>
      <c r="M88" s="209">
        <f t="shared" si="33"/>
        <v>0</v>
      </c>
      <c r="N88" s="148"/>
      <c r="O88" s="148"/>
      <c r="P88" s="480">
        <v>80</v>
      </c>
    </row>
    <row r="89" spans="1:16" s="478" customFormat="1" ht="12">
      <c r="A89" s="474" t="s">
        <v>294</v>
      </c>
      <c r="B89" s="479" t="s">
        <v>295</v>
      </c>
      <c r="C89" s="144"/>
      <c r="D89" s="145"/>
      <c r="E89" s="141"/>
      <c r="F89" s="141"/>
      <c r="G89" s="146"/>
      <c r="H89" s="209">
        <f>SUM(D89:G89)</f>
        <v>0</v>
      </c>
      <c r="I89" s="456"/>
      <c r="J89" s="457"/>
      <c r="K89" s="457"/>
      <c r="L89" s="475"/>
      <c r="M89" s="209">
        <f t="shared" si="33"/>
        <v>0</v>
      </c>
      <c r="N89" s="148"/>
      <c r="O89" s="148"/>
      <c r="P89" s="480">
        <v>100</v>
      </c>
    </row>
    <row r="90" spans="1:18" s="150" customFormat="1" ht="26.25" customHeight="1">
      <c r="A90" s="149" t="s">
        <v>48</v>
      </c>
      <c r="B90" s="124" t="s">
        <v>46</v>
      </c>
      <c r="C90" s="131">
        <f aca="true" t="shared" si="39" ref="C90:P90">C91+C101+C115</f>
        <v>0</v>
      </c>
      <c r="D90" s="132">
        <f t="shared" si="39"/>
        <v>554.5</v>
      </c>
      <c r="E90" s="128">
        <f t="shared" si="39"/>
        <v>1375</v>
      </c>
      <c r="F90" s="128">
        <f t="shared" si="39"/>
        <v>1861</v>
      </c>
      <c r="G90" s="129">
        <f t="shared" si="39"/>
        <v>928</v>
      </c>
      <c r="H90" s="135">
        <f t="shared" si="39"/>
        <v>4718.5</v>
      </c>
      <c r="I90" s="132">
        <f t="shared" si="39"/>
        <v>115</v>
      </c>
      <c r="J90" s="128">
        <f t="shared" si="39"/>
        <v>415</v>
      </c>
      <c r="K90" s="128">
        <f t="shared" si="39"/>
        <v>955</v>
      </c>
      <c r="L90" s="129">
        <f t="shared" si="39"/>
        <v>368</v>
      </c>
      <c r="M90" s="128">
        <f t="shared" si="39"/>
        <v>1853</v>
      </c>
      <c r="N90" s="133">
        <f t="shared" si="39"/>
        <v>1460</v>
      </c>
      <c r="O90" s="133">
        <f t="shared" si="39"/>
        <v>1060</v>
      </c>
      <c r="P90" s="133">
        <f t="shared" si="39"/>
        <v>990</v>
      </c>
      <c r="Q90" s="150">
        <f>SUM(H90+M90+N90+O90+P90)</f>
        <v>10081.5</v>
      </c>
      <c r="R90" s="168">
        <f>SUM(Q92:Q100)+SUM(Q102:Q113)+SUM(Q116:Q126)</f>
        <v>8481.5</v>
      </c>
    </row>
    <row r="91" spans="1:17" s="279" customFormat="1" ht="16.5" customHeight="1">
      <c r="A91" s="458"/>
      <c r="B91" s="459" t="s">
        <v>278</v>
      </c>
      <c r="C91" s="227">
        <f>SUM(C92:C100)</f>
        <v>0</v>
      </c>
      <c r="D91" s="228">
        <f aca="true" t="shared" si="40" ref="D91:P91">SUM(D92:D100)</f>
        <v>545</v>
      </c>
      <c r="E91" s="225">
        <f t="shared" si="40"/>
        <v>1215</v>
      </c>
      <c r="F91" s="225">
        <f t="shared" si="40"/>
        <v>1555</v>
      </c>
      <c r="G91" s="229">
        <f t="shared" si="40"/>
        <v>925</v>
      </c>
      <c r="H91" s="230">
        <f t="shared" si="40"/>
        <v>4240</v>
      </c>
      <c r="I91" s="228">
        <f t="shared" si="40"/>
        <v>15</v>
      </c>
      <c r="J91" s="225">
        <f t="shared" si="40"/>
        <v>95</v>
      </c>
      <c r="K91" s="225">
        <f t="shared" si="40"/>
        <v>75</v>
      </c>
      <c r="L91" s="229">
        <f t="shared" si="40"/>
        <v>105</v>
      </c>
      <c r="M91" s="209">
        <f t="shared" si="40"/>
        <v>290</v>
      </c>
      <c r="N91" s="231">
        <f t="shared" si="40"/>
        <v>430</v>
      </c>
      <c r="O91" s="231">
        <f t="shared" si="40"/>
        <v>330</v>
      </c>
      <c r="P91" s="231">
        <f t="shared" si="40"/>
        <v>430</v>
      </c>
      <c r="Q91" s="150">
        <f aca="true" t="shared" si="41" ref="Q91:Q126">SUM(H91+M91+N91+O91+P91)</f>
        <v>5720</v>
      </c>
    </row>
    <row r="92" spans="1:17" s="478" customFormat="1" ht="12">
      <c r="A92" s="474" t="s">
        <v>49</v>
      </c>
      <c r="B92" s="461" t="s">
        <v>296</v>
      </c>
      <c r="C92" s="485"/>
      <c r="D92" s="486"/>
      <c r="E92" s="483">
        <v>30</v>
      </c>
      <c r="F92" s="483">
        <v>40</v>
      </c>
      <c r="G92" s="487">
        <v>30</v>
      </c>
      <c r="H92" s="209">
        <f aca="true" t="shared" si="42" ref="H92:H126">SUM(D92:G92)</f>
        <v>100</v>
      </c>
      <c r="I92" s="486"/>
      <c r="J92" s="483">
        <v>30</v>
      </c>
      <c r="K92" s="483">
        <v>40</v>
      </c>
      <c r="L92" s="487">
        <v>40</v>
      </c>
      <c r="M92" s="209">
        <f t="shared" si="33"/>
        <v>110</v>
      </c>
      <c r="N92" s="463">
        <v>100</v>
      </c>
      <c r="O92" s="463">
        <v>100</v>
      </c>
      <c r="P92" s="463">
        <v>100</v>
      </c>
      <c r="Q92" s="150">
        <f t="shared" si="41"/>
        <v>510</v>
      </c>
    </row>
    <row r="93" spans="1:17" s="478" customFormat="1" ht="24">
      <c r="A93" s="474" t="s">
        <v>54</v>
      </c>
      <c r="B93" s="461" t="s">
        <v>297</v>
      </c>
      <c r="C93" s="485"/>
      <c r="D93" s="486"/>
      <c r="E93" s="483"/>
      <c r="F93" s="483"/>
      <c r="G93" s="487">
        <v>250</v>
      </c>
      <c r="H93" s="209">
        <f t="shared" si="42"/>
        <v>250</v>
      </c>
      <c r="I93" s="486"/>
      <c r="J93" s="483"/>
      <c r="K93" s="483"/>
      <c r="L93" s="487"/>
      <c r="M93" s="209">
        <f t="shared" si="33"/>
        <v>0</v>
      </c>
      <c r="N93" s="463"/>
      <c r="O93" s="463"/>
      <c r="P93" s="463"/>
      <c r="Q93" s="150">
        <f t="shared" si="41"/>
        <v>250</v>
      </c>
    </row>
    <row r="94" spans="1:17" s="478" customFormat="1" ht="12" customHeight="1">
      <c r="A94" s="474" t="s">
        <v>55</v>
      </c>
      <c r="B94" s="461" t="s">
        <v>298</v>
      </c>
      <c r="C94" s="488"/>
      <c r="D94" s="489">
        <v>500</v>
      </c>
      <c r="E94" s="490">
        <v>1000</v>
      </c>
      <c r="F94" s="490">
        <v>1500</v>
      </c>
      <c r="G94" s="491">
        <v>500</v>
      </c>
      <c r="H94" s="209">
        <f t="shared" si="42"/>
        <v>3500</v>
      </c>
      <c r="I94" s="489"/>
      <c r="J94" s="483"/>
      <c r="K94" s="483"/>
      <c r="L94" s="487"/>
      <c r="M94" s="209">
        <f t="shared" si="33"/>
        <v>0</v>
      </c>
      <c r="N94" s="463"/>
      <c r="O94" s="463"/>
      <c r="P94" s="463"/>
      <c r="Q94" s="150">
        <f t="shared" si="41"/>
        <v>3500</v>
      </c>
    </row>
    <row r="95" spans="1:17" s="478" customFormat="1" ht="24">
      <c r="A95" s="474" t="s">
        <v>56</v>
      </c>
      <c r="B95" s="461" t="s">
        <v>299</v>
      </c>
      <c r="C95" s="485"/>
      <c r="D95" s="486"/>
      <c r="E95" s="483">
        <v>100</v>
      </c>
      <c r="F95" s="483"/>
      <c r="G95" s="487"/>
      <c r="H95" s="209">
        <f t="shared" si="42"/>
        <v>100</v>
      </c>
      <c r="I95" s="486"/>
      <c r="J95" s="483"/>
      <c r="K95" s="483"/>
      <c r="L95" s="487"/>
      <c r="M95" s="209">
        <f t="shared" si="33"/>
        <v>0</v>
      </c>
      <c r="N95" s="463"/>
      <c r="O95" s="463"/>
      <c r="P95" s="463"/>
      <c r="Q95" s="150">
        <f t="shared" si="41"/>
        <v>100</v>
      </c>
    </row>
    <row r="96" spans="1:17" s="478" customFormat="1" ht="12">
      <c r="A96" s="474" t="s">
        <v>57</v>
      </c>
      <c r="B96" s="461" t="s">
        <v>300</v>
      </c>
      <c r="C96" s="485"/>
      <c r="D96" s="486"/>
      <c r="E96" s="483"/>
      <c r="F96" s="483"/>
      <c r="G96" s="487">
        <v>80</v>
      </c>
      <c r="H96" s="218">
        <f t="shared" si="42"/>
        <v>80</v>
      </c>
      <c r="I96" s="486"/>
      <c r="J96" s="483"/>
      <c r="K96" s="483"/>
      <c r="L96" s="487"/>
      <c r="M96" s="209">
        <f t="shared" si="33"/>
        <v>0</v>
      </c>
      <c r="N96" s="463"/>
      <c r="O96" s="463"/>
      <c r="P96" s="463"/>
      <c r="Q96" s="150">
        <f t="shared" si="41"/>
        <v>80</v>
      </c>
    </row>
    <row r="97" spans="1:17" s="478" customFormat="1" ht="12">
      <c r="A97" s="474" t="s">
        <v>61</v>
      </c>
      <c r="B97" s="492" t="s">
        <v>301</v>
      </c>
      <c r="C97" s="494"/>
      <c r="D97" s="481">
        <v>40</v>
      </c>
      <c r="E97" s="483">
        <v>50</v>
      </c>
      <c r="F97" s="483"/>
      <c r="G97" s="493">
        <v>50</v>
      </c>
      <c r="H97" s="495">
        <f t="shared" si="42"/>
        <v>140</v>
      </c>
      <c r="I97" s="482"/>
      <c r="J97" s="483">
        <v>50</v>
      </c>
      <c r="K97" s="483"/>
      <c r="L97" s="483">
        <v>50</v>
      </c>
      <c r="M97" s="209">
        <f t="shared" si="33"/>
        <v>100</v>
      </c>
      <c r="N97" s="468">
        <v>200</v>
      </c>
      <c r="O97" s="496">
        <v>100</v>
      </c>
      <c r="P97" s="468">
        <v>200</v>
      </c>
      <c r="Q97" s="150">
        <f t="shared" si="41"/>
        <v>740</v>
      </c>
    </row>
    <row r="98" spans="1:17" s="478" customFormat="1" ht="12" customHeight="1">
      <c r="A98" s="474" t="s">
        <v>302</v>
      </c>
      <c r="B98" s="461" t="s">
        <v>303</v>
      </c>
      <c r="C98" s="485"/>
      <c r="D98" s="484">
        <v>5</v>
      </c>
      <c r="E98" s="483">
        <v>10</v>
      </c>
      <c r="F98" s="483">
        <v>5</v>
      </c>
      <c r="G98" s="493">
        <v>10</v>
      </c>
      <c r="H98" s="218">
        <f t="shared" si="42"/>
        <v>30</v>
      </c>
      <c r="I98" s="482">
        <v>5</v>
      </c>
      <c r="J98" s="483">
        <v>5</v>
      </c>
      <c r="K98" s="483">
        <v>5</v>
      </c>
      <c r="L98" s="483">
        <v>5</v>
      </c>
      <c r="M98" s="209">
        <f t="shared" si="33"/>
        <v>20</v>
      </c>
      <c r="N98" s="463">
        <v>40</v>
      </c>
      <c r="O98" s="496">
        <v>40</v>
      </c>
      <c r="P98" s="463">
        <v>40</v>
      </c>
      <c r="Q98" s="150">
        <f t="shared" si="41"/>
        <v>170</v>
      </c>
    </row>
    <row r="99" spans="1:17" s="478" customFormat="1" ht="12" customHeight="1">
      <c r="A99" s="474" t="s">
        <v>304</v>
      </c>
      <c r="B99" s="497" t="s">
        <v>305</v>
      </c>
      <c r="C99" s="485"/>
      <c r="D99" s="484"/>
      <c r="E99" s="483">
        <v>5</v>
      </c>
      <c r="F99" s="483">
        <v>10</v>
      </c>
      <c r="G99" s="493">
        <v>5</v>
      </c>
      <c r="H99" s="218">
        <f t="shared" si="42"/>
        <v>20</v>
      </c>
      <c r="I99" s="482">
        <v>10</v>
      </c>
      <c r="J99" s="483">
        <v>10</v>
      </c>
      <c r="K99" s="483">
        <v>10</v>
      </c>
      <c r="L99" s="483">
        <v>10</v>
      </c>
      <c r="M99" s="209">
        <f t="shared" si="33"/>
        <v>40</v>
      </c>
      <c r="N99" s="463">
        <v>40</v>
      </c>
      <c r="O99" s="496">
        <v>40</v>
      </c>
      <c r="P99" s="463">
        <v>40</v>
      </c>
      <c r="Q99" s="150">
        <f t="shared" si="41"/>
        <v>180</v>
      </c>
    </row>
    <row r="100" spans="1:17" s="478" customFormat="1" ht="12">
      <c r="A100" s="474" t="s">
        <v>306</v>
      </c>
      <c r="B100" s="492" t="s">
        <v>307</v>
      </c>
      <c r="C100" s="485"/>
      <c r="D100" s="484"/>
      <c r="E100" s="483">
        <v>20</v>
      </c>
      <c r="F100" s="483"/>
      <c r="G100" s="493"/>
      <c r="H100" s="218">
        <f t="shared" si="42"/>
        <v>20</v>
      </c>
      <c r="I100" s="482"/>
      <c r="J100" s="483"/>
      <c r="K100" s="483">
        <v>20</v>
      </c>
      <c r="L100" s="483"/>
      <c r="M100" s="209">
        <f t="shared" si="33"/>
        <v>20</v>
      </c>
      <c r="N100" s="463">
        <v>50</v>
      </c>
      <c r="O100" s="496">
        <v>50</v>
      </c>
      <c r="P100" s="463">
        <v>50</v>
      </c>
      <c r="Q100" s="150">
        <f t="shared" si="41"/>
        <v>190</v>
      </c>
    </row>
    <row r="101" spans="1:17" s="279" customFormat="1" ht="16.5" customHeight="1">
      <c r="A101" s="458"/>
      <c r="B101" s="459" t="s">
        <v>275</v>
      </c>
      <c r="C101" s="227">
        <f>SUM(C102:C114)</f>
        <v>0</v>
      </c>
      <c r="D101" s="226">
        <f aca="true" t="shared" si="43" ref="D101:P101">SUM(D102:D114)</f>
        <v>0</v>
      </c>
      <c r="E101" s="225">
        <f t="shared" si="43"/>
        <v>160</v>
      </c>
      <c r="F101" s="225">
        <f t="shared" si="43"/>
        <v>246</v>
      </c>
      <c r="G101" s="229">
        <f t="shared" si="43"/>
        <v>0</v>
      </c>
      <c r="H101" s="498">
        <f t="shared" si="43"/>
        <v>406</v>
      </c>
      <c r="I101" s="228">
        <f t="shared" si="43"/>
        <v>100</v>
      </c>
      <c r="J101" s="225">
        <f t="shared" si="43"/>
        <v>320</v>
      </c>
      <c r="K101" s="225">
        <f t="shared" si="43"/>
        <v>850</v>
      </c>
      <c r="L101" s="229">
        <f t="shared" si="43"/>
        <v>250</v>
      </c>
      <c r="M101" s="230">
        <f t="shared" si="43"/>
        <v>1520</v>
      </c>
      <c r="N101" s="473">
        <f t="shared" si="43"/>
        <v>960</v>
      </c>
      <c r="O101" s="231">
        <f t="shared" si="43"/>
        <v>560</v>
      </c>
      <c r="P101" s="473">
        <f t="shared" si="43"/>
        <v>560</v>
      </c>
      <c r="Q101" s="150">
        <f t="shared" si="41"/>
        <v>4006</v>
      </c>
    </row>
    <row r="102" spans="1:17" s="150" customFormat="1" ht="24" customHeight="1">
      <c r="A102" s="151" t="s">
        <v>308</v>
      </c>
      <c r="B102" s="452" t="s">
        <v>309</v>
      </c>
      <c r="C102" s="499"/>
      <c r="D102" s="500"/>
      <c r="E102" s="457">
        <v>20</v>
      </c>
      <c r="F102" s="457">
        <v>20</v>
      </c>
      <c r="G102" s="146"/>
      <c r="H102" s="209">
        <f t="shared" si="42"/>
        <v>40</v>
      </c>
      <c r="I102" s="145"/>
      <c r="J102" s="457">
        <v>20</v>
      </c>
      <c r="K102" s="457">
        <v>20</v>
      </c>
      <c r="L102" s="146"/>
      <c r="M102" s="209">
        <f aca="true" t="shared" si="44" ref="M102:M113">SUM(I102:L102)</f>
        <v>40</v>
      </c>
      <c r="N102" s="480">
        <v>40</v>
      </c>
      <c r="O102" s="480">
        <v>40</v>
      </c>
      <c r="P102" s="480">
        <v>40</v>
      </c>
      <c r="Q102" s="150">
        <f t="shared" si="41"/>
        <v>200</v>
      </c>
    </row>
    <row r="103" spans="1:17" s="150" customFormat="1" ht="12" customHeight="1">
      <c r="A103" s="151" t="s">
        <v>310</v>
      </c>
      <c r="B103" s="501" t="s">
        <v>311</v>
      </c>
      <c r="C103" s="144"/>
      <c r="D103" s="145"/>
      <c r="E103" s="141"/>
      <c r="F103" s="457">
        <v>6</v>
      </c>
      <c r="G103" s="146"/>
      <c r="H103" s="209">
        <f t="shared" si="42"/>
        <v>6</v>
      </c>
      <c r="I103" s="145"/>
      <c r="J103" s="141"/>
      <c r="K103" s="141"/>
      <c r="L103" s="146"/>
      <c r="M103" s="209">
        <f t="shared" si="44"/>
        <v>0</v>
      </c>
      <c r="N103" s="480"/>
      <c r="O103" s="480"/>
      <c r="P103" s="480"/>
      <c r="Q103" s="150">
        <f t="shared" si="41"/>
        <v>6</v>
      </c>
    </row>
    <row r="104" spans="1:17" s="150" customFormat="1" ht="12" customHeight="1">
      <c r="A104" s="151" t="s">
        <v>312</v>
      </c>
      <c r="B104" s="501" t="s">
        <v>313</v>
      </c>
      <c r="C104" s="144"/>
      <c r="D104" s="145"/>
      <c r="E104" s="141"/>
      <c r="F104" s="141"/>
      <c r="G104" s="146"/>
      <c r="H104" s="209">
        <f t="shared" si="42"/>
        <v>0</v>
      </c>
      <c r="I104" s="145"/>
      <c r="J104" s="141"/>
      <c r="K104" s="141"/>
      <c r="L104" s="146"/>
      <c r="M104" s="209">
        <f t="shared" si="44"/>
        <v>0</v>
      </c>
      <c r="N104" s="480"/>
      <c r="O104" s="480"/>
      <c r="P104" s="480"/>
      <c r="Q104" s="150">
        <f t="shared" si="41"/>
        <v>0</v>
      </c>
    </row>
    <row r="105" spans="1:17" s="150" customFormat="1" ht="15" customHeight="1">
      <c r="A105" s="151" t="s">
        <v>314</v>
      </c>
      <c r="B105" s="452" t="s">
        <v>553</v>
      </c>
      <c r="C105" s="144"/>
      <c r="D105" s="145"/>
      <c r="E105" s="141"/>
      <c r="F105" s="141"/>
      <c r="G105" s="146"/>
      <c r="H105" s="209">
        <f t="shared" si="42"/>
        <v>0</v>
      </c>
      <c r="I105" s="145"/>
      <c r="J105" s="457"/>
      <c r="K105" s="141">
        <v>400</v>
      </c>
      <c r="L105" s="146"/>
      <c r="M105" s="209">
        <f t="shared" si="44"/>
        <v>400</v>
      </c>
      <c r="N105" s="480">
        <v>400</v>
      </c>
      <c r="O105" s="480"/>
      <c r="P105" s="480"/>
      <c r="Q105" s="150">
        <f t="shared" si="41"/>
        <v>800</v>
      </c>
    </row>
    <row r="106" spans="1:17" s="150" customFormat="1" ht="12" customHeight="1">
      <c r="A106" s="151" t="s">
        <v>315</v>
      </c>
      <c r="B106" s="501" t="s">
        <v>316</v>
      </c>
      <c r="C106" s="144"/>
      <c r="D106" s="145"/>
      <c r="E106" s="141"/>
      <c r="F106" s="141"/>
      <c r="G106" s="146"/>
      <c r="H106" s="209">
        <f t="shared" si="42"/>
        <v>0</v>
      </c>
      <c r="I106" s="145"/>
      <c r="J106" s="141"/>
      <c r="K106" s="457">
        <v>60</v>
      </c>
      <c r="L106" s="146"/>
      <c r="M106" s="209">
        <f t="shared" si="44"/>
        <v>60</v>
      </c>
      <c r="N106" s="480"/>
      <c r="O106" s="480"/>
      <c r="P106" s="480"/>
      <c r="Q106" s="150">
        <f t="shared" si="41"/>
        <v>60</v>
      </c>
    </row>
    <row r="107" spans="1:17" s="150" customFormat="1" ht="12" customHeight="1">
      <c r="A107" s="151" t="s">
        <v>317</v>
      </c>
      <c r="B107" s="502" t="s">
        <v>318</v>
      </c>
      <c r="C107" s="188"/>
      <c r="D107" s="191"/>
      <c r="E107" s="503">
        <v>35</v>
      </c>
      <c r="F107" s="503">
        <v>35</v>
      </c>
      <c r="G107" s="192"/>
      <c r="H107" s="209">
        <f t="shared" si="42"/>
        <v>70</v>
      </c>
      <c r="I107" s="191"/>
      <c r="J107" s="190"/>
      <c r="K107" s="190"/>
      <c r="L107" s="192"/>
      <c r="M107" s="209">
        <f t="shared" si="44"/>
        <v>0</v>
      </c>
      <c r="N107" s="75"/>
      <c r="O107" s="75"/>
      <c r="P107" s="75"/>
      <c r="Q107" s="150">
        <f t="shared" si="41"/>
        <v>70</v>
      </c>
    </row>
    <row r="108" spans="1:17" ht="12" customHeight="1">
      <c r="A108" s="504" t="s">
        <v>319</v>
      </c>
      <c r="B108" s="502" t="s">
        <v>320</v>
      </c>
      <c r="C108" s="188"/>
      <c r="D108" s="191"/>
      <c r="E108" s="503">
        <v>30</v>
      </c>
      <c r="F108" s="503"/>
      <c r="G108" s="192"/>
      <c r="H108" s="209">
        <f t="shared" si="42"/>
        <v>30</v>
      </c>
      <c r="I108" s="191"/>
      <c r="J108" s="503">
        <v>40</v>
      </c>
      <c r="K108" s="503"/>
      <c r="L108" s="192"/>
      <c r="M108" s="209">
        <f t="shared" si="44"/>
        <v>40</v>
      </c>
      <c r="N108" s="75">
        <v>40</v>
      </c>
      <c r="O108" s="75">
        <v>40</v>
      </c>
      <c r="P108" s="75">
        <v>40</v>
      </c>
      <c r="Q108" s="150">
        <f t="shared" si="41"/>
        <v>190</v>
      </c>
    </row>
    <row r="109" spans="1:17" s="150" customFormat="1" ht="25.5" customHeight="1">
      <c r="A109" s="151" t="s">
        <v>321</v>
      </c>
      <c r="B109" s="452" t="s">
        <v>550</v>
      </c>
      <c r="C109" s="144"/>
      <c r="D109" s="145"/>
      <c r="E109" s="457">
        <v>60</v>
      </c>
      <c r="F109" s="457">
        <v>60</v>
      </c>
      <c r="G109" s="146"/>
      <c r="H109" s="209">
        <f t="shared" si="42"/>
        <v>120</v>
      </c>
      <c r="I109" s="145"/>
      <c r="J109" s="457"/>
      <c r="K109" s="457"/>
      <c r="L109" s="146"/>
      <c r="M109" s="209">
        <f t="shared" si="44"/>
        <v>0</v>
      </c>
      <c r="N109" s="480"/>
      <c r="O109" s="480"/>
      <c r="P109" s="480"/>
      <c r="Q109" s="150">
        <f t="shared" si="41"/>
        <v>120</v>
      </c>
    </row>
    <row r="110" spans="1:17" s="150" customFormat="1" ht="12" customHeight="1">
      <c r="A110" s="151" t="s">
        <v>322</v>
      </c>
      <c r="B110" s="501" t="s">
        <v>323</v>
      </c>
      <c r="C110" s="144"/>
      <c r="D110" s="145"/>
      <c r="E110" s="457"/>
      <c r="F110" s="457"/>
      <c r="G110" s="475"/>
      <c r="H110" s="209">
        <f t="shared" si="42"/>
        <v>0</v>
      </c>
      <c r="I110" s="145"/>
      <c r="J110" s="141">
        <v>100</v>
      </c>
      <c r="K110" s="141">
        <v>250</v>
      </c>
      <c r="L110" s="146">
        <v>150</v>
      </c>
      <c r="M110" s="209">
        <f t="shared" si="44"/>
        <v>500</v>
      </c>
      <c r="N110" s="480"/>
      <c r="O110" s="480"/>
      <c r="P110" s="480"/>
      <c r="Q110" s="150">
        <f t="shared" si="41"/>
        <v>500</v>
      </c>
    </row>
    <row r="111" spans="1:17" s="150" customFormat="1" ht="35.25" customHeight="1">
      <c r="A111" s="151" t="s">
        <v>324</v>
      </c>
      <c r="B111" s="505" t="s">
        <v>325</v>
      </c>
      <c r="C111" s="188"/>
      <c r="D111" s="191"/>
      <c r="E111" s="190"/>
      <c r="F111" s="503">
        <v>80</v>
      </c>
      <c r="G111" s="192"/>
      <c r="H111" s="209">
        <f t="shared" si="42"/>
        <v>80</v>
      </c>
      <c r="I111" s="191"/>
      <c r="J111" s="190"/>
      <c r="K111" s="190"/>
      <c r="L111" s="192"/>
      <c r="M111" s="209">
        <f t="shared" si="44"/>
        <v>0</v>
      </c>
      <c r="N111" s="75"/>
      <c r="O111" s="75"/>
      <c r="P111" s="75"/>
      <c r="Q111" s="150">
        <f t="shared" si="41"/>
        <v>80</v>
      </c>
    </row>
    <row r="112" spans="1:17" s="150" customFormat="1" ht="12" customHeight="1">
      <c r="A112" s="151" t="s">
        <v>326</v>
      </c>
      <c r="B112" s="502" t="s">
        <v>327</v>
      </c>
      <c r="C112" s="144"/>
      <c r="D112" s="145"/>
      <c r="E112" s="457"/>
      <c r="F112" s="457">
        <v>30</v>
      </c>
      <c r="G112" s="146"/>
      <c r="H112" s="209">
        <f t="shared" si="42"/>
        <v>30</v>
      </c>
      <c r="I112" s="145"/>
      <c r="J112" s="457">
        <v>40</v>
      </c>
      <c r="K112" s="457"/>
      <c r="L112" s="146"/>
      <c r="M112" s="209">
        <f t="shared" si="44"/>
        <v>40</v>
      </c>
      <c r="N112" s="480">
        <v>40</v>
      </c>
      <c r="O112" s="480">
        <v>40</v>
      </c>
      <c r="P112" s="480">
        <v>40</v>
      </c>
      <c r="Q112" s="150">
        <f t="shared" si="41"/>
        <v>190</v>
      </c>
    </row>
    <row r="113" spans="1:17" s="150" customFormat="1" ht="25.5" customHeight="1">
      <c r="A113" s="151" t="s">
        <v>328</v>
      </c>
      <c r="B113" s="452" t="s">
        <v>329</v>
      </c>
      <c r="C113" s="144"/>
      <c r="D113" s="145"/>
      <c r="E113" s="457">
        <v>15</v>
      </c>
      <c r="F113" s="457">
        <v>15</v>
      </c>
      <c r="G113" s="146"/>
      <c r="H113" s="209">
        <f t="shared" si="42"/>
        <v>30</v>
      </c>
      <c r="I113" s="145"/>
      <c r="J113" s="457">
        <v>20</v>
      </c>
      <c r="K113" s="457">
        <v>20</v>
      </c>
      <c r="L113" s="146"/>
      <c r="M113" s="209">
        <f t="shared" si="44"/>
        <v>40</v>
      </c>
      <c r="N113" s="480">
        <v>40</v>
      </c>
      <c r="O113" s="480">
        <v>40</v>
      </c>
      <c r="P113" s="480">
        <v>40</v>
      </c>
      <c r="Q113" s="150">
        <f t="shared" si="41"/>
        <v>190</v>
      </c>
    </row>
    <row r="114" spans="1:16" s="150" customFormat="1" ht="15.75" customHeight="1">
      <c r="A114" s="151" t="s">
        <v>501</v>
      </c>
      <c r="B114" s="452" t="s">
        <v>502</v>
      </c>
      <c r="C114" s="144"/>
      <c r="D114" s="145"/>
      <c r="E114" s="457"/>
      <c r="F114" s="457"/>
      <c r="G114" s="146"/>
      <c r="H114" s="209">
        <f t="shared" si="42"/>
        <v>0</v>
      </c>
      <c r="I114" s="145">
        <v>100</v>
      </c>
      <c r="J114" s="457">
        <v>100</v>
      </c>
      <c r="K114" s="457">
        <v>100</v>
      </c>
      <c r="L114" s="146">
        <v>100</v>
      </c>
      <c r="M114" s="209">
        <f>SUM(I114:L114)</f>
        <v>400</v>
      </c>
      <c r="N114" s="480">
        <v>400</v>
      </c>
      <c r="O114" s="480">
        <v>400</v>
      </c>
      <c r="P114" s="480">
        <v>400</v>
      </c>
    </row>
    <row r="115" spans="1:17" s="279" customFormat="1" ht="16.5" customHeight="1">
      <c r="A115" s="458"/>
      <c r="B115" s="459" t="s">
        <v>285</v>
      </c>
      <c r="C115" s="227">
        <f>SUM(C116:C126)</f>
        <v>0</v>
      </c>
      <c r="D115" s="228">
        <f aca="true" t="shared" si="45" ref="D115:P115">SUM(D116:D126)</f>
        <v>9.5</v>
      </c>
      <c r="E115" s="225">
        <f t="shared" si="45"/>
        <v>0</v>
      </c>
      <c r="F115" s="225">
        <f t="shared" si="45"/>
        <v>60</v>
      </c>
      <c r="G115" s="229">
        <f t="shared" si="45"/>
        <v>3</v>
      </c>
      <c r="H115" s="230">
        <f t="shared" si="45"/>
        <v>72.5</v>
      </c>
      <c r="I115" s="228">
        <f t="shared" si="45"/>
        <v>0</v>
      </c>
      <c r="J115" s="225">
        <f t="shared" si="45"/>
        <v>0</v>
      </c>
      <c r="K115" s="225">
        <f t="shared" si="45"/>
        <v>30</v>
      </c>
      <c r="L115" s="229">
        <f t="shared" si="45"/>
        <v>13</v>
      </c>
      <c r="M115" s="506">
        <f t="shared" si="45"/>
        <v>43</v>
      </c>
      <c r="N115" s="507">
        <f t="shared" si="45"/>
        <v>70</v>
      </c>
      <c r="O115" s="507">
        <f t="shared" si="45"/>
        <v>170</v>
      </c>
      <c r="P115" s="507">
        <f t="shared" si="45"/>
        <v>0</v>
      </c>
      <c r="Q115" s="150">
        <f t="shared" si="41"/>
        <v>355.5</v>
      </c>
    </row>
    <row r="116" spans="1:17" s="478" customFormat="1" ht="12">
      <c r="A116" s="474" t="s">
        <v>330</v>
      </c>
      <c r="B116" s="501" t="s">
        <v>331</v>
      </c>
      <c r="C116" s="144"/>
      <c r="D116" s="456">
        <v>7</v>
      </c>
      <c r="E116" s="457"/>
      <c r="F116" s="457"/>
      <c r="G116" s="475"/>
      <c r="H116" s="218">
        <f t="shared" si="42"/>
        <v>7</v>
      </c>
      <c r="I116" s="456"/>
      <c r="J116" s="457"/>
      <c r="K116" s="457"/>
      <c r="L116" s="475"/>
      <c r="M116" s="209">
        <f aca="true" t="shared" si="46" ref="M116:M126">SUM(I116:L116)</f>
        <v>0</v>
      </c>
      <c r="N116" s="480"/>
      <c r="O116" s="480"/>
      <c r="P116" s="468"/>
      <c r="Q116" s="150">
        <f t="shared" si="41"/>
        <v>7</v>
      </c>
    </row>
    <row r="117" spans="1:17" s="478" customFormat="1" ht="12" customHeight="1">
      <c r="A117" s="474" t="s">
        <v>332</v>
      </c>
      <c r="B117" s="508" t="s">
        <v>333</v>
      </c>
      <c r="C117" s="144"/>
      <c r="D117" s="456">
        <v>2.5</v>
      </c>
      <c r="E117" s="457"/>
      <c r="F117" s="457"/>
      <c r="G117" s="475"/>
      <c r="H117" s="218">
        <f t="shared" si="42"/>
        <v>2.5</v>
      </c>
      <c r="I117" s="456"/>
      <c r="J117" s="457"/>
      <c r="K117" s="457"/>
      <c r="L117" s="475"/>
      <c r="M117" s="209">
        <f t="shared" si="46"/>
        <v>0</v>
      </c>
      <c r="N117" s="480"/>
      <c r="O117" s="480"/>
      <c r="P117" s="463"/>
      <c r="Q117" s="150">
        <f t="shared" si="41"/>
        <v>2.5</v>
      </c>
    </row>
    <row r="118" spans="1:17" s="478" customFormat="1" ht="12" customHeight="1">
      <c r="A118" s="474" t="s">
        <v>334</v>
      </c>
      <c r="B118" s="501" t="s">
        <v>335</v>
      </c>
      <c r="C118" s="144"/>
      <c r="D118" s="456"/>
      <c r="E118" s="457"/>
      <c r="F118" s="457">
        <v>60</v>
      </c>
      <c r="G118" s="475"/>
      <c r="H118" s="218">
        <f t="shared" si="42"/>
        <v>60</v>
      </c>
      <c r="I118" s="456"/>
      <c r="J118" s="457"/>
      <c r="K118" s="457"/>
      <c r="L118" s="475"/>
      <c r="M118" s="209">
        <f t="shared" si="46"/>
        <v>0</v>
      </c>
      <c r="N118" s="480"/>
      <c r="O118" s="480"/>
      <c r="P118" s="463"/>
      <c r="Q118" s="150">
        <f t="shared" si="41"/>
        <v>60</v>
      </c>
    </row>
    <row r="119" spans="1:17" s="478" customFormat="1" ht="12">
      <c r="A119" s="474" t="s">
        <v>336</v>
      </c>
      <c r="B119" s="509" t="s">
        <v>337</v>
      </c>
      <c r="C119" s="144"/>
      <c r="D119" s="456"/>
      <c r="E119" s="457"/>
      <c r="F119" s="457"/>
      <c r="G119" s="150">
        <v>3</v>
      </c>
      <c r="H119" s="218">
        <f t="shared" si="42"/>
        <v>3</v>
      </c>
      <c r="I119" s="456"/>
      <c r="J119" s="457"/>
      <c r="K119" s="457"/>
      <c r="L119" s="475"/>
      <c r="M119" s="209">
        <f t="shared" si="46"/>
        <v>0</v>
      </c>
      <c r="N119" s="480"/>
      <c r="O119" s="510"/>
      <c r="P119" s="468"/>
      <c r="Q119" s="150">
        <f t="shared" si="41"/>
        <v>3</v>
      </c>
    </row>
    <row r="120" spans="1:17" s="466" customFormat="1" ht="12">
      <c r="A120" s="474" t="s">
        <v>338</v>
      </c>
      <c r="B120" s="508" t="s">
        <v>339</v>
      </c>
      <c r="C120" s="144"/>
      <c r="D120" s="456"/>
      <c r="E120" s="457"/>
      <c r="F120" s="457"/>
      <c r="G120" s="475"/>
      <c r="H120" s="218">
        <f t="shared" si="42"/>
        <v>0</v>
      </c>
      <c r="I120" s="456"/>
      <c r="J120" s="457"/>
      <c r="K120" s="457">
        <v>30</v>
      </c>
      <c r="L120" s="475"/>
      <c r="M120" s="209">
        <f t="shared" si="46"/>
        <v>30</v>
      </c>
      <c r="N120" s="480"/>
      <c r="O120" s="510"/>
      <c r="P120" s="511"/>
      <c r="Q120" s="150">
        <f t="shared" si="41"/>
        <v>30</v>
      </c>
    </row>
    <row r="121" spans="1:17" s="466" customFormat="1" ht="12">
      <c r="A121" s="474" t="s">
        <v>340</v>
      </c>
      <c r="B121" s="509" t="s">
        <v>337</v>
      </c>
      <c r="C121" s="144"/>
      <c r="D121" s="456"/>
      <c r="E121" s="457"/>
      <c r="F121" s="457"/>
      <c r="G121" s="475"/>
      <c r="H121" s="218">
        <f t="shared" si="42"/>
        <v>0</v>
      </c>
      <c r="I121" s="456"/>
      <c r="J121" s="512"/>
      <c r="K121" s="457"/>
      <c r="L121" s="475">
        <v>10</v>
      </c>
      <c r="M121" s="209">
        <f t="shared" si="46"/>
        <v>10</v>
      </c>
      <c r="N121" s="480"/>
      <c r="O121" s="510"/>
      <c r="P121" s="511"/>
      <c r="Q121" s="150">
        <f t="shared" si="41"/>
        <v>10</v>
      </c>
    </row>
    <row r="122" spans="1:17" s="466" customFormat="1" ht="12">
      <c r="A122" s="474" t="s">
        <v>341</v>
      </c>
      <c r="B122" s="513" t="s">
        <v>342</v>
      </c>
      <c r="C122" s="144"/>
      <c r="D122" s="456"/>
      <c r="E122" s="457"/>
      <c r="F122" s="457"/>
      <c r="G122" s="475"/>
      <c r="H122" s="218">
        <f t="shared" si="42"/>
        <v>0</v>
      </c>
      <c r="I122" s="456"/>
      <c r="J122" s="457"/>
      <c r="K122" s="457"/>
      <c r="L122" s="475">
        <v>3</v>
      </c>
      <c r="M122" s="209">
        <f t="shared" si="46"/>
        <v>3</v>
      </c>
      <c r="N122" s="480"/>
      <c r="O122" s="510"/>
      <c r="P122" s="511"/>
      <c r="Q122" s="150">
        <f t="shared" si="41"/>
        <v>3</v>
      </c>
    </row>
    <row r="123" spans="1:17" s="466" customFormat="1" ht="12">
      <c r="A123" s="474" t="s">
        <v>343</v>
      </c>
      <c r="B123" s="508" t="s">
        <v>344</v>
      </c>
      <c r="C123" s="144"/>
      <c r="D123" s="456"/>
      <c r="E123" s="457"/>
      <c r="F123" s="457"/>
      <c r="G123" s="475"/>
      <c r="H123" s="218">
        <f t="shared" si="42"/>
        <v>0</v>
      </c>
      <c r="I123" s="456"/>
      <c r="J123" s="457"/>
      <c r="K123" s="457"/>
      <c r="L123" s="475"/>
      <c r="M123" s="209">
        <f t="shared" si="46"/>
        <v>0</v>
      </c>
      <c r="N123" s="480">
        <v>25</v>
      </c>
      <c r="O123" s="510"/>
      <c r="P123" s="511"/>
      <c r="Q123" s="150">
        <f t="shared" si="41"/>
        <v>25</v>
      </c>
    </row>
    <row r="124" spans="1:17" s="466" customFormat="1" ht="12">
      <c r="A124" s="474" t="s">
        <v>345</v>
      </c>
      <c r="B124" s="514" t="s">
        <v>346</v>
      </c>
      <c r="C124" s="144"/>
      <c r="D124" s="456"/>
      <c r="E124" s="457"/>
      <c r="F124" s="457"/>
      <c r="G124" s="475"/>
      <c r="H124" s="218">
        <f t="shared" si="42"/>
        <v>0</v>
      </c>
      <c r="I124" s="456"/>
      <c r="J124" s="457"/>
      <c r="K124" s="457"/>
      <c r="L124" s="475"/>
      <c r="M124" s="209">
        <f t="shared" si="46"/>
        <v>0</v>
      </c>
      <c r="N124" s="480">
        <v>45</v>
      </c>
      <c r="O124" s="510"/>
      <c r="P124" s="511"/>
      <c r="Q124" s="150">
        <f t="shared" si="41"/>
        <v>45</v>
      </c>
    </row>
    <row r="125" spans="1:17" s="466" customFormat="1" ht="12">
      <c r="A125" s="474" t="s">
        <v>347</v>
      </c>
      <c r="B125" s="513" t="s">
        <v>348</v>
      </c>
      <c r="C125" s="144"/>
      <c r="D125" s="456"/>
      <c r="E125" s="457"/>
      <c r="F125" s="457"/>
      <c r="G125" s="475"/>
      <c r="H125" s="218">
        <f t="shared" si="42"/>
        <v>0</v>
      </c>
      <c r="I125" s="456"/>
      <c r="J125" s="457"/>
      <c r="K125" s="457"/>
      <c r="L125" s="475"/>
      <c r="M125" s="209">
        <f t="shared" si="46"/>
        <v>0</v>
      </c>
      <c r="N125" s="480"/>
      <c r="O125" s="510">
        <v>150</v>
      </c>
      <c r="P125" s="511"/>
      <c r="Q125" s="150">
        <f t="shared" si="41"/>
        <v>150</v>
      </c>
    </row>
    <row r="126" spans="1:17" s="466" customFormat="1" ht="12">
      <c r="A126" s="474" t="s">
        <v>349</v>
      </c>
      <c r="B126" s="515" t="s">
        <v>350</v>
      </c>
      <c r="C126" s="144"/>
      <c r="D126" s="456"/>
      <c r="E126" s="457"/>
      <c r="F126" s="457"/>
      <c r="G126" s="475"/>
      <c r="H126" s="218">
        <f t="shared" si="42"/>
        <v>0</v>
      </c>
      <c r="I126" s="456"/>
      <c r="J126" s="457"/>
      <c r="K126" s="457"/>
      <c r="L126" s="475"/>
      <c r="M126" s="209">
        <f t="shared" si="46"/>
        <v>0</v>
      </c>
      <c r="N126" s="480"/>
      <c r="O126" s="510">
        <v>20</v>
      </c>
      <c r="P126" s="511"/>
      <c r="Q126" s="150">
        <f t="shared" si="41"/>
        <v>20</v>
      </c>
    </row>
    <row r="127" spans="3:13" ht="12.75" customHeight="1">
      <c r="C127" s="516"/>
      <c r="D127" s="517"/>
      <c r="E127" s="517"/>
      <c r="F127" s="517"/>
      <c r="G127" s="517"/>
      <c r="H127" s="516"/>
      <c r="I127" s="517"/>
      <c r="J127" s="517"/>
      <c r="K127" s="517"/>
      <c r="L127" s="517"/>
      <c r="M127" s="516"/>
    </row>
    <row r="128" spans="3:13" ht="12.75" customHeight="1">
      <c r="C128" s="516"/>
      <c r="D128" s="517"/>
      <c r="E128" s="517"/>
      <c r="F128" s="517"/>
      <c r="G128" s="517"/>
      <c r="H128" s="516"/>
      <c r="I128" s="517"/>
      <c r="J128" s="517"/>
      <c r="K128" s="517"/>
      <c r="L128" s="517"/>
      <c r="M128" s="516"/>
    </row>
    <row r="129" spans="3:13" ht="12.75" customHeight="1">
      <c r="C129" s="516"/>
      <c r="D129" s="517"/>
      <c r="E129" s="517"/>
      <c r="F129" s="517"/>
      <c r="G129" s="517"/>
      <c r="H129" s="516"/>
      <c r="I129" s="517"/>
      <c r="J129" s="517"/>
      <c r="K129" s="517"/>
      <c r="L129" s="517"/>
      <c r="M129" s="516"/>
    </row>
    <row r="130" spans="3:13" ht="12.75" customHeight="1">
      <c r="C130" s="516"/>
      <c r="D130" s="517"/>
      <c r="E130" s="517"/>
      <c r="F130" s="517"/>
      <c r="G130" s="517"/>
      <c r="H130" s="516"/>
      <c r="I130" s="517"/>
      <c r="J130" s="517"/>
      <c r="K130" s="517"/>
      <c r="L130" s="517"/>
      <c r="M130" s="516"/>
    </row>
    <row r="131" spans="3:13" ht="12.75" customHeight="1">
      <c r="C131" s="516"/>
      <c r="D131" s="517"/>
      <c r="E131" s="517"/>
      <c r="F131" s="517"/>
      <c r="G131" s="517"/>
      <c r="H131" s="516"/>
      <c r="I131" s="517"/>
      <c r="J131" s="517"/>
      <c r="K131" s="517"/>
      <c r="L131" s="517"/>
      <c r="M131" s="516"/>
    </row>
    <row r="132" spans="3:13" ht="12.75" customHeight="1">
      <c r="C132" s="516"/>
      <c r="D132" s="517"/>
      <c r="E132" s="517"/>
      <c r="F132" s="517"/>
      <c r="G132" s="517"/>
      <c r="H132" s="516"/>
      <c r="I132" s="517"/>
      <c r="J132" s="517"/>
      <c r="K132" s="517"/>
      <c r="L132" s="517"/>
      <c r="M132" s="516"/>
    </row>
    <row r="133" spans="3:13" ht="12.75" customHeight="1">
      <c r="C133" s="516"/>
      <c r="D133" s="517"/>
      <c r="E133" s="517"/>
      <c r="F133" s="517"/>
      <c r="G133" s="517"/>
      <c r="H133" s="516"/>
      <c r="I133" s="517"/>
      <c r="J133" s="517"/>
      <c r="K133" s="517"/>
      <c r="L133" s="517"/>
      <c r="M133" s="516"/>
    </row>
    <row r="134" spans="3:13" ht="12.75" customHeight="1">
      <c r="C134" s="516"/>
      <c r="D134" s="517"/>
      <c r="E134" s="517"/>
      <c r="F134" s="517"/>
      <c r="G134" s="517"/>
      <c r="H134" s="516"/>
      <c r="I134" s="517"/>
      <c r="J134" s="517"/>
      <c r="K134" s="517"/>
      <c r="L134" s="517"/>
      <c r="M134" s="516"/>
    </row>
    <row r="135" spans="3:13" ht="12.75" customHeight="1">
      <c r="C135" s="516"/>
      <c r="D135" s="517"/>
      <c r="E135" s="517"/>
      <c r="F135" s="517"/>
      <c r="G135" s="517"/>
      <c r="H135" s="516"/>
      <c r="I135" s="517"/>
      <c r="J135" s="517"/>
      <c r="K135" s="517"/>
      <c r="L135" s="517"/>
      <c r="M135" s="516"/>
    </row>
    <row r="136" spans="3:13" ht="12.75" customHeight="1">
      <c r="C136" s="516"/>
      <c r="D136" s="517"/>
      <c r="E136" s="517"/>
      <c r="F136" s="517"/>
      <c r="G136" s="517"/>
      <c r="H136" s="516"/>
      <c r="I136" s="517"/>
      <c r="J136" s="517"/>
      <c r="K136" s="517"/>
      <c r="L136" s="517"/>
      <c r="M136" s="516"/>
    </row>
  </sheetData>
  <sheetProtection/>
  <mergeCells count="8">
    <mergeCell ref="O4:O5"/>
    <mergeCell ref="P4:P5"/>
    <mergeCell ref="A1:N1"/>
    <mergeCell ref="A2:N2"/>
    <mergeCell ref="C4:C5"/>
    <mergeCell ref="D4:H4"/>
    <mergeCell ref="I4:M4"/>
    <mergeCell ref="N4:N5"/>
  </mergeCells>
  <printOptions/>
  <pageMargins left="0.8267716535433072" right="0.15748031496062992" top="0.7874015748031497" bottom="0.1968503937007874" header="0.1968503937007874" footer="0.15748031496062992"/>
  <pageSetup fitToHeight="2" horizontalDpi="600" verticalDpi="600" orientation="landscape" paperSize="9" scale="70" r:id="rId3"/>
  <headerFooter alignWithMargins="0">
    <oddFooter>&amp;C1.&amp;P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showZeros="0" zoomScalePageLayoutView="0" workbookViewId="0" topLeftCell="A1">
      <pane xSplit="2" ySplit="5" topLeftCell="G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6" sqref="H66"/>
    </sheetView>
  </sheetViews>
  <sheetFormatPr defaultColWidth="9.140625" defaultRowHeight="12.75" customHeight="1"/>
  <cols>
    <col min="1" max="1" width="11.57421875" style="200" customWidth="1"/>
    <col min="2" max="2" width="46.8515625" style="34" customWidth="1"/>
    <col min="3" max="3" width="11.140625" style="34" customWidth="1"/>
    <col min="4" max="4" width="8.8515625" style="150" customWidth="1"/>
    <col min="5" max="7" width="8.7109375" style="150" customWidth="1"/>
    <col min="8" max="8" width="10.8515625" style="34" customWidth="1"/>
    <col min="9" max="12" width="8.7109375" style="150" customWidth="1"/>
    <col min="13" max="13" width="10.8515625" style="34" customWidth="1"/>
    <col min="14" max="14" width="9.140625" style="34" customWidth="1"/>
    <col min="15" max="15" width="11.7109375" style="34" customWidth="1"/>
    <col min="16" max="16384" width="9.140625" style="34" customWidth="1"/>
  </cols>
  <sheetData>
    <row r="1" spans="1:14" ht="12.75" customHeight="1">
      <c r="A1" s="1020" t="s">
        <v>41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</row>
    <row r="2" spans="1:14" ht="12.75" customHeight="1">
      <c r="A2" s="1020" t="s">
        <v>0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</row>
    <row r="3" spans="1:13" ht="12.75" customHeight="1" thickBot="1">
      <c r="A3" s="35"/>
      <c r="B3" s="36"/>
      <c r="C3" s="36"/>
      <c r="D3" s="38"/>
      <c r="E3" s="38"/>
      <c r="F3" s="38"/>
      <c r="G3" s="38"/>
      <c r="H3" s="36"/>
      <c r="I3" s="38"/>
      <c r="J3" s="38"/>
      <c r="K3" s="38"/>
      <c r="L3" s="38"/>
      <c r="M3" s="36"/>
    </row>
    <row r="4" spans="1:16" ht="18.75" customHeight="1" thickBot="1">
      <c r="A4" s="39" t="s">
        <v>1</v>
      </c>
      <c r="B4" s="40" t="s">
        <v>2</v>
      </c>
      <c r="C4" s="1024" t="s">
        <v>42</v>
      </c>
      <c r="D4" s="1026">
        <v>2012</v>
      </c>
      <c r="E4" s="1023"/>
      <c r="F4" s="1023"/>
      <c r="G4" s="1023"/>
      <c r="H4" s="1027"/>
      <c r="I4" s="1026">
        <v>2013</v>
      </c>
      <c r="J4" s="1023"/>
      <c r="K4" s="1023"/>
      <c r="L4" s="1023"/>
      <c r="M4" s="1027"/>
      <c r="N4" s="1018">
        <v>2014</v>
      </c>
      <c r="O4" s="1018">
        <v>2015</v>
      </c>
      <c r="P4" s="1018">
        <v>2016</v>
      </c>
    </row>
    <row r="5" spans="1:16" ht="32.25" customHeight="1" thickBot="1">
      <c r="A5" s="43" t="s">
        <v>5</v>
      </c>
      <c r="B5" s="44" t="s">
        <v>6</v>
      </c>
      <c r="C5" s="1025"/>
      <c r="D5" s="49" t="s">
        <v>8</v>
      </c>
      <c r="E5" s="50" t="s">
        <v>9</v>
      </c>
      <c r="F5" s="50" t="s">
        <v>10</v>
      </c>
      <c r="G5" s="51" t="s">
        <v>11</v>
      </c>
      <c r="H5" s="52" t="s">
        <v>12</v>
      </c>
      <c r="I5" s="49" t="s">
        <v>8</v>
      </c>
      <c r="J5" s="50" t="s">
        <v>9</v>
      </c>
      <c r="K5" s="50" t="s">
        <v>10</v>
      </c>
      <c r="L5" s="51" t="s">
        <v>11</v>
      </c>
      <c r="M5" s="52" t="s">
        <v>12</v>
      </c>
      <c r="N5" s="1019"/>
      <c r="O5" s="1019"/>
      <c r="P5" s="1019"/>
    </row>
    <row r="6" spans="1:16" ht="12.75" customHeight="1" hidden="1">
      <c r="A6" s="53" t="s">
        <v>13</v>
      </c>
      <c r="B6" s="54" t="s">
        <v>14</v>
      </c>
      <c r="C6" s="61"/>
      <c r="D6" s="62">
        <f aca="true" t="shared" si="0" ref="D6:P6">SUM(D7:D11)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4">
        <f t="shared" si="0"/>
        <v>0</v>
      </c>
      <c r="I6" s="62" t="e">
        <f t="shared" si="0"/>
        <v>#REF!</v>
      </c>
      <c r="J6" s="63">
        <f t="shared" si="0"/>
        <v>0</v>
      </c>
      <c r="K6" s="63">
        <f t="shared" si="0"/>
        <v>0</v>
      </c>
      <c r="L6" s="65">
        <f t="shared" si="0"/>
        <v>0</v>
      </c>
      <c r="M6" s="64" t="e">
        <f t="shared" si="0"/>
        <v>#REF!</v>
      </c>
      <c r="N6" s="66">
        <f t="shared" si="0"/>
        <v>0</v>
      </c>
      <c r="O6" s="66">
        <f t="shared" si="0"/>
        <v>0</v>
      </c>
      <c r="P6" s="66">
        <f t="shared" si="0"/>
        <v>0</v>
      </c>
    </row>
    <row r="7" spans="1:16" s="36" customFormat="1" ht="12.75" customHeight="1" hidden="1">
      <c r="A7" s="67" t="s">
        <v>15</v>
      </c>
      <c r="B7" s="68" t="s">
        <v>16</v>
      </c>
      <c r="C7" s="75"/>
      <c r="D7" s="76"/>
      <c r="E7" s="77"/>
      <c r="F7" s="77"/>
      <c r="G7" s="78"/>
      <c r="H7" s="79">
        <f>SUM(D7:G7)</f>
        <v>0</v>
      </c>
      <c r="I7" s="76"/>
      <c r="J7" s="77"/>
      <c r="K7" s="77"/>
      <c r="L7" s="78"/>
      <c r="M7" s="79">
        <f>SUM(I7:L7)</f>
        <v>0</v>
      </c>
      <c r="N7" s="80"/>
      <c r="O7" s="80"/>
      <c r="P7" s="80"/>
    </row>
    <row r="8" spans="1:16" s="36" customFormat="1" ht="12.75" customHeight="1" hidden="1">
      <c r="A8" s="67" t="s">
        <v>17</v>
      </c>
      <c r="B8" s="68" t="s">
        <v>18</v>
      </c>
      <c r="C8" s="75"/>
      <c r="D8" s="76"/>
      <c r="E8" s="77"/>
      <c r="F8" s="77"/>
      <c r="G8" s="78"/>
      <c r="H8" s="79">
        <f>SUM(D8:G8)</f>
        <v>0</v>
      </c>
      <c r="I8" s="76" t="e">
        <f>H13</f>
        <v>#REF!</v>
      </c>
      <c r="J8" s="77"/>
      <c r="K8" s="77"/>
      <c r="L8" s="78"/>
      <c r="M8" s="79" t="e">
        <f>SUM(I8:L8)</f>
        <v>#REF!</v>
      </c>
      <c r="N8" s="80"/>
      <c r="O8" s="80"/>
      <c r="P8" s="80"/>
    </row>
    <row r="9" spans="1:16" s="36" customFormat="1" ht="12.75" customHeight="1" hidden="1">
      <c r="A9" s="67" t="s">
        <v>19</v>
      </c>
      <c r="B9" s="81" t="s">
        <v>20</v>
      </c>
      <c r="C9" s="75"/>
      <c r="D9" s="76"/>
      <c r="E9" s="77"/>
      <c r="F9" s="77"/>
      <c r="G9" s="78"/>
      <c r="H9" s="79">
        <f>SUM(D9:G9)</f>
        <v>0</v>
      </c>
      <c r="I9" s="76"/>
      <c r="J9" s="77"/>
      <c r="K9" s="77"/>
      <c r="L9" s="78"/>
      <c r="M9" s="79">
        <f>SUM(I9:L9)</f>
        <v>0</v>
      </c>
      <c r="N9" s="80"/>
      <c r="O9" s="80"/>
      <c r="P9" s="80"/>
    </row>
    <row r="10" spans="1:16" s="36" customFormat="1" ht="12.75" customHeight="1" hidden="1">
      <c r="A10" s="67" t="s">
        <v>21</v>
      </c>
      <c r="B10" s="81" t="s">
        <v>22</v>
      </c>
      <c r="C10" s="75"/>
      <c r="D10" s="76"/>
      <c r="E10" s="77"/>
      <c r="F10" s="77"/>
      <c r="G10" s="78"/>
      <c r="H10" s="79">
        <f>SUM(D10:G10)</f>
        <v>0</v>
      </c>
      <c r="I10" s="76"/>
      <c r="J10" s="77"/>
      <c r="K10" s="77"/>
      <c r="L10" s="78"/>
      <c r="M10" s="79">
        <f>SUM(I10:L10)</f>
        <v>0</v>
      </c>
      <c r="N10" s="80"/>
      <c r="O10" s="80"/>
      <c r="P10" s="80"/>
    </row>
    <row r="11" spans="1:16" s="36" customFormat="1" ht="12.75" customHeight="1" hidden="1" thickBot="1">
      <c r="A11" s="67" t="s">
        <v>23</v>
      </c>
      <c r="B11" s="81" t="s">
        <v>24</v>
      </c>
      <c r="C11" s="75"/>
      <c r="D11" s="84"/>
      <c r="E11" s="85"/>
      <c r="F11" s="85"/>
      <c r="G11" s="86"/>
      <c r="H11" s="79">
        <f>SUM(D11:G11)</f>
        <v>0</v>
      </c>
      <c r="I11" s="84"/>
      <c r="J11" s="85"/>
      <c r="K11" s="85"/>
      <c r="L11" s="86"/>
      <c r="M11" s="79">
        <f>SUM(I11:L11)</f>
        <v>0</v>
      </c>
      <c r="N11" s="80"/>
      <c r="O11" s="80"/>
      <c r="P11" s="80"/>
    </row>
    <row r="12" spans="1:16" ht="12.75" customHeight="1" hidden="1" thickTop="1">
      <c r="A12" s="87" t="s">
        <v>25</v>
      </c>
      <c r="B12" s="88" t="s">
        <v>26</v>
      </c>
      <c r="C12" s="94"/>
      <c r="D12" s="95" t="e">
        <f>IF(D6-#REF!&lt;0,D6-#REF!,0)</f>
        <v>#REF!</v>
      </c>
      <c r="E12" s="96" t="e">
        <f>IF(E6+D13+D12-#REF!&lt;0,E6+D13+D12-#REF!,0)</f>
        <v>#REF!</v>
      </c>
      <c r="F12" s="96" t="e">
        <f>IF(F6+E13+E12-#REF!&lt;0,F6+E13+E12-#REF!,0)</f>
        <v>#REF!</v>
      </c>
      <c r="G12" s="96" t="e">
        <f>IF(G6+F13+F12-#REF!&lt;0,G6+F13+F12-#REF!,0)</f>
        <v>#REF!</v>
      </c>
      <c r="H12" s="97" t="e">
        <f>G12</f>
        <v>#REF!</v>
      </c>
      <c r="I12" s="95" t="e">
        <f>IF(I6-#REF!&lt;0,I6-#REF!,0)</f>
        <v>#REF!</v>
      </c>
      <c r="J12" s="96" t="e">
        <f>IF(J6+I13+I12-#REF!&lt;0,J6+I13+I12-#REF!,0)</f>
        <v>#REF!</v>
      </c>
      <c r="K12" s="96" t="e">
        <f>IF(K6+J13+J12-#REF!&lt;0,K6+J13+J12-#REF!,0)</f>
        <v>#REF!</v>
      </c>
      <c r="L12" s="98" t="e">
        <f>IF(L6+K13+K12-#REF!&lt;0,L6+K13+K12-#REF!,0)</f>
        <v>#REF!</v>
      </c>
      <c r="M12" s="99" t="e">
        <f>L12</f>
        <v>#REF!</v>
      </c>
      <c r="N12" s="99" t="s">
        <v>27</v>
      </c>
      <c r="O12" s="99" t="e">
        <f>IF(O6-#REF!&lt;0,O6-#REF!,0)</f>
        <v>#REF!</v>
      </c>
      <c r="P12" s="362" t="e">
        <f>IF(P6-#REF!&lt;0,P6-#REF!,0)</f>
        <v>#REF!</v>
      </c>
    </row>
    <row r="13" spans="1:16" ht="12.75" customHeight="1" hidden="1" thickBot="1">
      <c r="A13" s="100" t="s">
        <v>28</v>
      </c>
      <c r="B13" s="101" t="s">
        <v>29</v>
      </c>
      <c r="C13" s="106"/>
      <c r="D13" s="107" t="e">
        <f>IF(D6-#REF!&gt;0,D6-#REF!,0)</f>
        <v>#REF!</v>
      </c>
      <c r="E13" s="108" t="e">
        <f>IF(E6-#REF!+D12+D13&gt;0,E6-#REF!+D12+D13,0)</f>
        <v>#REF!</v>
      </c>
      <c r="F13" s="108" t="e">
        <f>IF(F6-#REF!+E12+E13&gt;0,F6-#REF!+E12+E13,0)</f>
        <v>#REF!</v>
      </c>
      <c r="G13" s="109" t="e">
        <f>IF(G6-#REF!+F12+F13&gt;0,G6-#REF!+F12+F13,0)</f>
        <v>#REF!</v>
      </c>
      <c r="H13" s="110" t="e">
        <f>G13</f>
        <v>#REF!</v>
      </c>
      <c r="I13" s="107" t="e">
        <f>IF(I6-#REF!&gt;0,I6-#REF!,0)</f>
        <v>#REF!</v>
      </c>
      <c r="J13" s="108" t="e">
        <f>IF(J6-#REF!+I12+I13&gt;0,J6-#REF!+I12+I13,0)</f>
        <v>#REF!</v>
      </c>
      <c r="K13" s="108" t="e">
        <f>IF(K6-#REF!+J12+J13&gt;0,K6-#REF!+J12+J13,0)</f>
        <v>#REF!</v>
      </c>
      <c r="L13" s="109" t="e">
        <f>IF(L6-#REF!+K12+K13&gt;0,L6-#REF!+K12+K13,0)</f>
        <v>#REF!</v>
      </c>
      <c r="M13" s="111" t="e">
        <f>L13</f>
        <v>#REF!</v>
      </c>
      <c r="N13" s="111" t="e">
        <f>IF(N6-#REF!&gt;0,N6-#REF!,0)</f>
        <v>#REF!</v>
      </c>
      <c r="O13" s="111" t="e">
        <f>IF(O6-#REF!&gt;0,O6-#REF!,0)</f>
        <v>#REF!</v>
      </c>
      <c r="P13" s="369" t="e">
        <f>IF(P6-#REF!&gt;0,P6-#REF!,0)</f>
        <v>#REF!</v>
      </c>
    </row>
    <row r="14" spans="1:18" s="150" customFormat="1" ht="18" customHeight="1">
      <c r="A14" s="325" t="s">
        <v>13</v>
      </c>
      <c r="B14" s="165" t="s">
        <v>391</v>
      </c>
      <c r="C14" s="138">
        <f aca="true" t="shared" si="1" ref="C14:J14">C15+C43</f>
        <v>0</v>
      </c>
      <c r="D14" s="139">
        <f t="shared" si="1"/>
        <v>38</v>
      </c>
      <c r="E14" s="140">
        <f t="shared" si="1"/>
        <v>894</v>
      </c>
      <c r="F14" s="141">
        <f t="shared" si="1"/>
        <v>1703</v>
      </c>
      <c r="G14" s="141">
        <f t="shared" si="1"/>
        <v>350</v>
      </c>
      <c r="H14" s="141">
        <f t="shared" si="1"/>
        <v>2985</v>
      </c>
      <c r="I14" s="143">
        <f t="shared" si="1"/>
        <v>164</v>
      </c>
      <c r="J14" s="144">
        <f t="shared" si="1"/>
        <v>751</v>
      </c>
      <c r="K14" s="145">
        <f aca="true" t="shared" si="2" ref="K14:P14">K15+K43</f>
        <v>2150</v>
      </c>
      <c r="L14" s="145">
        <f t="shared" si="2"/>
        <v>340</v>
      </c>
      <c r="M14" s="166">
        <f t="shared" si="2"/>
        <v>3405</v>
      </c>
      <c r="N14" s="166">
        <f t="shared" si="2"/>
        <v>2705</v>
      </c>
      <c r="O14" s="166">
        <f t="shared" si="2"/>
        <v>2180</v>
      </c>
      <c r="P14" s="166">
        <f t="shared" si="2"/>
        <v>2235</v>
      </c>
      <c r="Q14" s="168">
        <f>H14+M14+N14+O14+P14</f>
        <v>13510</v>
      </c>
      <c r="R14" s="168">
        <f>Q15+Q61</f>
        <v>13510</v>
      </c>
    </row>
    <row r="15" spans="1:18" s="150" customFormat="1" ht="18" customHeight="1">
      <c r="A15" s="325" t="s">
        <v>171</v>
      </c>
      <c r="B15" s="165" t="s">
        <v>392</v>
      </c>
      <c r="C15" s="138">
        <f aca="true" t="shared" si="3" ref="C15:J15">C21+C37+C16</f>
        <v>0</v>
      </c>
      <c r="D15" s="139">
        <f t="shared" si="3"/>
        <v>38</v>
      </c>
      <c r="E15" s="140">
        <f t="shared" si="3"/>
        <v>894</v>
      </c>
      <c r="F15" s="141">
        <f t="shared" si="3"/>
        <v>703</v>
      </c>
      <c r="G15" s="141">
        <f t="shared" si="3"/>
        <v>300</v>
      </c>
      <c r="H15" s="141">
        <f t="shared" si="3"/>
        <v>1935</v>
      </c>
      <c r="I15" s="143">
        <f t="shared" si="3"/>
        <v>164</v>
      </c>
      <c r="J15" s="144">
        <f t="shared" si="3"/>
        <v>751</v>
      </c>
      <c r="K15" s="143">
        <f aca="true" t="shared" si="4" ref="K15:P15">K21+K37+K16</f>
        <v>1150</v>
      </c>
      <c r="L15" s="143">
        <f t="shared" si="4"/>
        <v>240</v>
      </c>
      <c r="M15" s="167">
        <f t="shared" si="4"/>
        <v>2305</v>
      </c>
      <c r="N15" s="167">
        <f t="shared" si="4"/>
        <v>2655</v>
      </c>
      <c r="O15" s="167">
        <f t="shared" si="4"/>
        <v>2130</v>
      </c>
      <c r="P15" s="167">
        <f t="shared" si="4"/>
        <v>2185</v>
      </c>
      <c r="Q15" s="168">
        <f>H15+M15+N15+O15+P15</f>
        <v>11210</v>
      </c>
      <c r="R15" s="169">
        <f>Q21+Q37</f>
        <v>11210</v>
      </c>
    </row>
    <row r="16" spans="1:18" s="150" customFormat="1" ht="18" customHeight="1">
      <c r="A16" s="325"/>
      <c r="B16" s="681" t="s">
        <v>43</v>
      </c>
      <c r="C16" s="138"/>
      <c r="D16" s="139">
        <f aca="true" t="shared" si="5" ref="D16:P16">SUM(D17:D20)</f>
        <v>0</v>
      </c>
      <c r="E16" s="140">
        <f t="shared" si="5"/>
        <v>0</v>
      </c>
      <c r="F16" s="141">
        <f t="shared" si="5"/>
        <v>0</v>
      </c>
      <c r="G16" s="141">
        <f t="shared" si="5"/>
        <v>0</v>
      </c>
      <c r="H16" s="141">
        <f t="shared" si="5"/>
        <v>0</v>
      </c>
      <c r="I16" s="143">
        <f t="shared" si="5"/>
        <v>0</v>
      </c>
      <c r="J16" s="144">
        <f t="shared" si="5"/>
        <v>0</v>
      </c>
      <c r="K16" s="143">
        <f t="shared" si="5"/>
        <v>0</v>
      </c>
      <c r="L16" s="143">
        <f t="shared" si="5"/>
        <v>0</v>
      </c>
      <c r="M16" s="167">
        <f t="shared" si="5"/>
        <v>0</v>
      </c>
      <c r="N16" s="167">
        <f t="shared" si="5"/>
        <v>0</v>
      </c>
      <c r="O16" s="167">
        <f t="shared" si="5"/>
        <v>0</v>
      </c>
      <c r="P16" s="167">
        <f t="shared" si="5"/>
        <v>0</v>
      </c>
      <c r="Q16" s="168"/>
      <c r="R16" s="169"/>
    </row>
    <row r="17" spans="1:18" s="150" customFormat="1" ht="18" customHeight="1">
      <c r="A17" s="325"/>
      <c r="B17" s="683"/>
      <c r="C17" s="138"/>
      <c r="D17" s="139"/>
      <c r="E17" s="140"/>
      <c r="F17" s="141"/>
      <c r="G17" s="141"/>
      <c r="H17" s="141"/>
      <c r="I17" s="143"/>
      <c r="J17" s="144"/>
      <c r="K17" s="143"/>
      <c r="L17" s="143"/>
      <c r="M17" s="167"/>
      <c r="N17" s="167"/>
      <c r="O17" s="167"/>
      <c r="P17" s="167"/>
      <c r="Q17" s="168"/>
      <c r="R17" s="169"/>
    </row>
    <row r="18" spans="1:18" s="150" customFormat="1" ht="18" customHeight="1">
      <c r="A18" s="325"/>
      <c r="B18" s="683"/>
      <c r="C18" s="138"/>
      <c r="D18" s="139"/>
      <c r="E18" s="140"/>
      <c r="F18" s="141"/>
      <c r="G18" s="141"/>
      <c r="H18" s="141"/>
      <c r="I18" s="143"/>
      <c r="J18" s="144"/>
      <c r="K18" s="143"/>
      <c r="L18" s="143"/>
      <c r="M18" s="167"/>
      <c r="N18" s="167"/>
      <c r="O18" s="167"/>
      <c r="P18" s="167"/>
      <c r="Q18" s="168"/>
      <c r="R18" s="169"/>
    </row>
    <row r="19" spans="1:18" s="150" customFormat="1" ht="18" customHeight="1">
      <c r="A19" s="325"/>
      <c r="B19" s="680"/>
      <c r="C19" s="138"/>
      <c r="D19" s="139"/>
      <c r="E19" s="140"/>
      <c r="F19" s="141"/>
      <c r="G19" s="141"/>
      <c r="H19" s="141"/>
      <c r="I19" s="143"/>
      <c r="J19" s="144"/>
      <c r="K19" s="143"/>
      <c r="L19" s="143"/>
      <c r="M19" s="167"/>
      <c r="N19" s="167"/>
      <c r="O19" s="167"/>
      <c r="P19" s="167"/>
      <c r="Q19" s="168"/>
      <c r="R19" s="169"/>
    </row>
    <row r="20" spans="1:18" s="150" customFormat="1" ht="18" customHeight="1">
      <c r="A20" s="325"/>
      <c r="B20" s="680"/>
      <c r="C20" s="138"/>
      <c r="D20" s="139"/>
      <c r="E20" s="140"/>
      <c r="F20" s="141"/>
      <c r="G20" s="141"/>
      <c r="H20" s="141"/>
      <c r="I20" s="143"/>
      <c r="J20" s="144"/>
      <c r="K20" s="143"/>
      <c r="L20" s="143"/>
      <c r="M20" s="167"/>
      <c r="N20" s="167"/>
      <c r="O20" s="167"/>
      <c r="P20" s="167"/>
      <c r="Q20" s="168"/>
      <c r="R20" s="169"/>
    </row>
    <row r="21" spans="1:18" s="150" customFormat="1" ht="18" customHeight="1">
      <c r="A21" s="325"/>
      <c r="B21" s="335" t="s">
        <v>46</v>
      </c>
      <c r="C21" s="138">
        <f>SUM(C22:C35)</f>
        <v>0</v>
      </c>
      <c r="D21" s="139">
        <f aca="true" t="shared" si="6" ref="D21:P21">SUM(D22:D35)</f>
        <v>18</v>
      </c>
      <c r="E21" s="140">
        <f t="shared" si="6"/>
        <v>794</v>
      </c>
      <c r="F21" s="141">
        <f t="shared" si="6"/>
        <v>453</v>
      </c>
      <c r="G21" s="141">
        <f t="shared" si="6"/>
        <v>140</v>
      </c>
      <c r="H21" s="141">
        <f t="shared" si="6"/>
        <v>1405</v>
      </c>
      <c r="I21" s="143">
        <f t="shared" si="6"/>
        <v>164</v>
      </c>
      <c r="J21" s="144">
        <f t="shared" si="6"/>
        <v>581</v>
      </c>
      <c r="K21" s="143">
        <f t="shared" si="6"/>
        <v>980</v>
      </c>
      <c r="L21" s="143">
        <f t="shared" si="6"/>
        <v>140</v>
      </c>
      <c r="M21" s="167">
        <f t="shared" si="6"/>
        <v>1865</v>
      </c>
      <c r="N21" s="167">
        <f t="shared" si="6"/>
        <v>1765</v>
      </c>
      <c r="O21" s="167">
        <f t="shared" si="6"/>
        <v>1610</v>
      </c>
      <c r="P21" s="167">
        <f t="shared" si="6"/>
        <v>1615</v>
      </c>
      <c r="Q21" s="168">
        <f>H21+M21+N21+O21+P21</f>
        <v>8260</v>
      </c>
      <c r="R21" s="169"/>
    </row>
    <row r="22" spans="1:17" s="150" customFormat="1" ht="18" customHeight="1">
      <c r="A22" s="325"/>
      <c r="B22" s="327" t="s">
        <v>425</v>
      </c>
      <c r="C22" s="138">
        <f>C68</f>
        <v>0</v>
      </c>
      <c r="D22" s="139">
        <f aca="true" t="shared" si="7" ref="D22:P22">D68</f>
        <v>0</v>
      </c>
      <c r="E22" s="140">
        <f t="shared" si="7"/>
        <v>150</v>
      </c>
      <c r="F22" s="141">
        <f t="shared" si="7"/>
        <v>0</v>
      </c>
      <c r="G22" s="141">
        <f t="shared" si="7"/>
        <v>100</v>
      </c>
      <c r="H22" s="141">
        <f t="shared" si="7"/>
        <v>250</v>
      </c>
      <c r="I22" s="143">
        <f t="shared" si="7"/>
        <v>150</v>
      </c>
      <c r="J22" s="144">
        <f t="shared" si="7"/>
        <v>50</v>
      </c>
      <c r="K22" s="143">
        <f t="shared" si="7"/>
        <v>150</v>
      </c>
      <c r="L22" s="143">
        <f t="shared" si="7"/>
        <v>0</v>
      </c>
      <c r="M22" s="167">
        <f t="shared" si="7"/>
        <v>350</v>
      </c>
      <c r="N22" s="167">
        <f t="shared" si="7"/>
        <v>700</v>
      </c>
      <c r="O22" s="167">
        <f t="shared" si="7"/>
        <v>300</v>
      </c>
      <c r="P22" s="167">
        <f t="shared" si="7"/>
        <v>300</v>
      </c>
      <c r="Q22" s="702">
        <f aca="true" t="shared" si="8" ref="Q22:Q65">H22+M22+N22+O22+P22</f>
        <v>1900</v>
      </c>
    </row>
    <row r="23" spans="1:17" s="150" customFormat="1" ht="18" customHeight="1">
      <c r="A23" s="325"/>
      <c r="B23" s="327" t="str">
        <f>B69</f>
        <v>Ryšio aparatai ir įranga</v>
      </c>
      <c r="C23" s="138">
        <f aca="true" t="shared" si="9" ref="C23:P23">C69</f>
        <v>0</v>
      </c>
      <c r="D23" s="139">
        <f t="shared" si="9"/>
        <v>0</v>
      </c>
      <c r="E23" s="140">
        <f t="shared" si="9"/>
        <v>40</v>
      </c>
      <c r="F23" s="141">
        <f t="shared" si="9"/>
        <v>0</v>
      </c>
      <c r="G23" s="141">
        <f t="shared" si="9"/>
        <v>20</v>
      </c>
      <c r="H23" s="141">
        <f t="shared" si="9"/>
        <v>60</v>
      </c>
      <c r="I23" s="143">
        <f t="shared" si="9"/>
        <v>0</v>
      </c>
      <c r="J23" s="144">
        <f t="shared" si="9"/>
        <v>20</v>
      </c>
      <c r="K23" s="143">
        <f t="shared" si="9"/>
        <v>0</v>
      </c>
      <c r="L23" s="143">
        <f t="shared" si="9"/>
        <v>20</v>
      </c>
      <c r="M23" s="167">
        <f t="shared" si="9"/>
        <v>40</v>
      </c>
      <c r="N23" s="167">
        <f t="shared" si="9"/>
        <v>40</v>
      </c>
      <c r="O23" s="167">
        <f t="shared" si="9"/>
        <v>40</v>
      </c>
      <c r="P23" s="167">
        <f t="shared" si="9"/>
        <v>40</v>
      </c>
      <c r="Q23" s="702">
        <f t="shared" si="8"/>
        <v>220</v>
      </c>
    </row>
    <row r="24" spans="1:17" s="150" customFormat="1" ht="28.5" customHeight="1">
      <c r="A24" s="325"/>
      <c r="B24" s="327" t="str">
        <f>B72</f>
        <v>Nuotekų tvarkymo automatikos įrangos planinis atnaujinimas</v>
      </c>
      <c r="C24" s="138">
        <f aca="true" t="shared" si="10" ref="C24:P24">C72</f>
        <v>0</v>
      </c>
      <c r="D24" s="139">
        <f t="shared" si="10"/>
        <v>0</v>
      </c>
      <c r="E24" s="140">
        <f t="shared" si="10"/>
        <v>60</v>
      </c>
      <c r="F24" s="141">
        <f t="shared" si="10"/>
        <v>80</v>
      </c>
      <c r="G24" s="141">
        <f t="shared" si="10"/>
        <v>0</v>
      </c>
      <c r="H24" s="141">
        <f t="shared" si="10"/>
        <v>140</v>
      </c>
      <c r="I24" s="143">
        <f t="shared" si="10"/>
        <v>0</v>
      </c>
      <c r="J24" s="144">
        <f t="shared" si="10"/>
        <v>100</v>
      </c>
      <c r="K24" s="143">
        <f t="shared" si="10"/>
        <v>100</v>
      </c>
      <c r="L24" s="143">
        <f t="shared" si="10"/>
        <v>0</v>
      </c>
      <c r="M24" s="167">
        <f t="shared" si="10"/>
        <v>200</v>
      </c>
      <c r="N24" s="167">
        <f t="shared" si="10"/>
        <v>100</v>
      </c>
      <c r="O24" s="167">
        <f t="shared" si="10"/>
        <v>200</v>
      </c>
      <c r="P24" s="167">
        <f t="shared" si="10"/>
        <v>100</v>
      </c>
      <c r="Q24" s="702">
        <f t="shared" si="8"/>
        <v>740</v>
      </c>
    </row>
    <row r="25" spans="1:17" s="150" customFormat="1" ht="28.5" customHeight="1">
      <c r="A25" s="325"/>
      <c r="B25" s="327" t="str">
        <f>B73</f>
        <v>Vandens tiekimo automatikos įrangos planinis atnaujinimas</v>
      </c>
      <c r="C25" s="138">
        <f aca="true" t="shared" si="11" ref="C25:P25">C73</f>
        <v>0</v>
      </c>
      <c r="D25" s="139">
        <f t="shared" si="11"/>
        <v>0</v>
      </c>
      <c r="E25" s="140">
        <f t="shared" si="11"/>
        <v>100</v>
      </c>
      <c r="F25" s="141">
        <f t="shared" si="11"/>
        <v>0</v>
      </c>
      <c r="G25" s="141">
        <f t="shared" si="11"/>
        <v>0</v>
      </c>
      <c r="H25" s="141">
        <f t="shared" si="11"/>
        <v>100</v>
      </c>
      <c r="I25" s="143">
        <f t="shared" si="11"/>
        <v>0</v>
      </c>
      <c r="J25" s="144">
        <f t="shared" si="11"/>
        <v>50</v>
      </c>
      <c r="K25" s="143">
        <f t="shared" si="11"/>
        <v>100</v>
      </c>
      <c r="L25" s="143">
        <f t="shared" si="11"/>
        <v>0</v>
      </c>
      <c r="M25" s="167">
        <f t="shared" si="11"/>
        <v>150</v>
      </c>
      <c r="N25" s="167">
        <f t="shared" si="11"/>
        <v>150</v>
      </c>
      <c r="O25" s="167">
        <f t="shared" si="11"/>
        <v>200</v>
      </c>
      <c r="P25" s="167">
        <f t="shared" si="11"/>
        <v>300</v>
      </c>
      <c r="Q25" s="702">
        <f t="shared" si="8"/>
        <v>900</v>
      </c>
    </row>
    <row r="26" spans="1:17" s="150" customFormat="1" ht="18" customHeight="1">
      <c r="A26" s="325"/>
      <c r="B26" s="327" t="str">
        <f>B75</f>
        <v>Fizinės ir informacinės saugos priemonių atnaujinimas</v>
      </c>
      <c r="C26" s="138">
        <f aca="true" t="shared" si="12" ref="C26:P26">C75</f>
        <v>0</v>
      </c>
      <c r="D26" s="139">
        <f t="shared" si="12"/>
        <v>0</v>
      </c>
      <c r="E26" s="140">
        <f t="shared" si="12"/>
        <v>0</v>
      </c>
      <c r="F26" s="141">
        <f t="shared" si="12"/>
        <v>50</v>
      </c>
      <c r="G26" s="141">
        <f t="shared" si="12"/>
        <v>0</v>
      </c>
      <c r="H26" s="141">
        <f t="shared" si="12"/>
        <v>50</v>
      </c>
      <c r="I26" s="143">
        <f t="shared" si="12"/>
        <v>0</v>
      </c>
      <c r="J26" s="144">
        <f t="shared" si="12"/>
        <v>40</v>
      </c>
      <c r="K26" s="143">
        <f t="shared" si="12"/>
        <v>60</v>
      </c>
      <c r="L26" s="143">
        <f t="shared" si="12"/>
        <v>0</v>
      </c>
      <c r="M26" s="167">
        <f t="shared" si="12"/>
        <v>100</v>
      </c>
      <c r="N26" s="167">
        <f t="shared" si="12"/>
        <v>150</v>
      </c>
      <c r="O26" s="167">
        <f t="shared" si="12"/>
        <v>150</v>
      </c>
      <c r="P26" s="167">
        <f t="shared" si="12"/>
        <v>150</v>
      </c>
      <c r="Q26" s="702">
        <f t="shared" si="8"/>
        <v>600</v>
      </c>
    </row>
    <row r="27" spans="1:17" s="150" customFormat="1" ht="18" customHeight="1">
      <c r="A27" s="325"/>
      <c r="B27" s="699" t="str">
        <f>B78</f>
        <v>Metrologinių prietaisų atnaujinimas</v>
      </c>
      <c r="C27" s="138">
        <f aca="true" t="shared" si="13" ref="C27:P27">C78</f>
        <v>0</v>
      </c>
      <c r="D27" s="139">
        <f t="shared" si="13"/>
        <v>0</v>
      </c>
      <c r="E27" s="140">
        <f t="shared" si="13"/>
        <v>40</v>
      </c>
      <c r="F27" s="141">
        <f t="shared" si="13"/>
        <v>0</v>
      </c>
      <c r="G27" s="141">
        <f t="shared" si="13"/>
        <v>0</v>
      </c>
      <c r="H27" s="141">
        <f t="shared" si="13"/>
        <v>40</v>
      </c>
      <c r="I27" s="143">
        <f t="shared" si="13"/>
        <v>0</v>
      </c>
      <c r="J27" s="144">
        <f t="shared" si="13"/>
        <v>0</v>
      </c>
      <c r="K27" s="143">
        <f t="shared" si="13"/>
        <v>40</v>
      </c>
      <c r="L27" s="143">
        <f t="shared" si="13"/>
        <v>0</v>
      </c>
      <c r="M27" s="167">
        <f t="shared" si="13"/>
        <v>40</v>
      </c>
      <c r="N27" s="167">
        <f t="shared" si="13"/>
        <v>0</v>
      </c>
      <c r="O27" s="167">
        <f t="shared" si="13"/>
        <v>0</v>
      </c>
      <c r="P27" s="167">
        <f t="shared" si="13"/>
        <v>0</v>
      </c>
      <c r="Q27" s="702">
        <f t="shared" si="8"/>
        <v>80</v>
      </c>
    </row>
    <row r="28" spans="1:17" s="150" customFormat="1" ht="18" customHeight="1">
      <c r="A28" s="325"/>
      <c r="B28" s="327" t="s">
        <v>426</v>
      </c>
      <c r="C28" s="138">
        <f>C85+C86+C91+C92+C96</f>
        <v>0</v>
      </c>
      <c r="D28" s="139">
        <f aca="true" t="shared" si="14" ref="D28:P28">D85+D86+D91+D92+D96</f>
        <v>0</v>
      </c>
      <c r="E28" s="140">
        <f t="shared" si="14"/>
        <v>40</v>
      </c>
      <c r="F28" s="141">
        <f t="shared" si="14"/>
        <v>210</v>
      </c>
      <c r="G28" s="141">
        <f t="shared" si="14"/>
        <v>0</v>
      </c>
      <c r="H28" s="141">
        <f t="shared" si="14"/>
        <v>250</v>
      </c>
      <c r="I28" s="143">
        <f t="shared" si="14"/>
        <v>0</v>
      </c>
      <c r="J28" s="144">
        <f t="shared" si="14"/>
        <v>50</v>
      </c>
      <c r="K28" s="143">
        <f t="shared" si="14"/>
        <v>50</v>
      </c>
      <c r="L28" s="143">
        <f t="shared" si="14"/>
        <v>100</v>
      </c>
      <c r="M28" s="167">
        <f t="shared" si="14"/>
        <v>200</v>
      </c>
      <c r="N28" s="167">
        <f t="shared" si="14"/>
        <v>200</v>
      </c>
      <c r="O28" s="167">
        <f t="shared" si="14"/>
        <v>200</v>
      </c>
      <c r="P28" s="167">
        <f t="shared" si="14"/>
        <v>200</v>
      </c>
      <c r="Q28" s="168">
        <f t="shared" si="8"/>
        <v>1050</v>
      </c>
    </row>
    <row r="29" spans="1:17" s="150" customFormat="1" ht="18" customHeight="1">
      <c r="A29" s="325"/>
      <c r="B29" s="327" t="str">
        <f>B80</f>
        <v>Automombilių planinis atnaujinimas</v>
      </c>
      <c r="C29" s="138">
        <f aca="true" t="shared" si="15" ref="C29:P29">C80</f>
        <v>0</v>
      </c>
      <c r="D29" s="139">
        <f t="shared" si="15"/>
        <v>0</v>
      </c>
      <c r="E29" s="140">
        <f t="shared" si="15"/>
        <v>0</v>
      </c>
      <c r="F29" s="141">
        <f t="shared" si="15"/>
        <v>0</v>
      </c>
      <c r="G29" s="141">
        <f t="shared" si="15"/>
        <v>0</v>
      </c>
      <c r="H29" s="141">
        <f t="shared" si="15"/>
        <v>0</v>
      </c>
      <c r="I29" s="143">
        <f t="shared" si="15"/>
        <v>0</v>
      </c>
      <c r="J29" s="144">
        <f t="shared" si="15"/>
        <v>0</v>
      </c>
      <c r="K29" s="143">
        <f t="shared" si="15"/>
        <v>400</v>
      </c>
      <c r="L29" s="143">
        <f t="shared" si="15"/>
        <v>0</v>
      </c>
      <c r="M29" s="167">
        <f t="shared" si="15"/>
        <v>400</v>
      </c>
      <c r="N29" s="167">
        <f t="shared" si="15"/>
        <v>200</v>
      </c>
      <c r="O29" s="167">
        <f t="shared" si="15"/>
        <v>300</v>
      </c>
      <c r="P29" s="167">
        <f t="shared" si="15"/>
        <v>300</v>
      </c>
      <c r="Q29" s="702">
        <f t="shared" si="8"/>
        <v>1200</v>
      </c>
    </row>
    <row r="30" spans="1:17" s="150" customFormat="1" ht="18" customHeight="1">
      <c r="A30" s="325"/>
      <c r="B30" s="327" t="str">
        <f aca="true" t="shared" si="16" ref="B30:P33">B81</f>
        <v>Traktorių atnaujinimas</v>
      </c>
      <c r="C30" s="138">
        <f t="shared" si="16"/>
        <v>0</v>
      </c>
      <c r="D30" s="139">
        <f t="shared" si="16"/>
        <v>0</v>
      </c>
      <c r="E30" s="140">
        <f t="shared" si="16"/>
        <v>230</v>
      </c>
      <c r="F30" s="141">
        <f t="shared" si="16"/>
        <v>0</v>
      </c>
      <c r="G30" s="141">
        <f t="shared" si="16"/>
        <v>0</v>
      </c>
      <c r="H30" s="141">
        <f t="shared" si="16"/>
        <v>230</v>
      </c>
      <c r="I30" s="143">
        <f t="shared" si="16"/>
        <v>0</v>
      </c>
      <c r="J30" s="144">
        <f t="shared" si="16"/>
        <v>0</v>
      </c>
      <c r="K30" s="143">
        <f t="shared" si="16"/>
        <v>0</v>
      </c>
      <c r="L30" s="143">
        <f t="shared" si="16"/>
        <v>0</v>
      </c>
      <c r="M30" s="167">
        <f t="shared" si="16"/>
        <v>0</v>
      </c>
      <c r="N30" s="167">
        <f t="shared" si="16"/>
        <v>0</v>
      </c>
      <c r="O30" s="167">
        <f t="shared" si="16"/>
        <v>0</v>
      </c>
      <c r="P30" s="167">
        <f t="shared" si="16"/>
        <v>0</v>
      </c>
      <c r="Q30" s="702">
        <f t="shared" si="8"/>
        <v>230</v>
      </c>
    </row>
    <row r="31" spans="1:17" s="150" customFormat="1" ht="18" customHeight="1">
      <c r="A31" s="325"/>
      <c r="B31" s="327" t="str">
        <f t="shared" si="16"/>
        <v>Eskavatoriaus atnaujinimas</v>
      </c>
      <c r="C31" s="138">
        <f t="shared" si="16"/>
        <v>0</v>
      </c>
      <c r="D31" s="139">
        <f t="shared" si="16"/>
        <v>0</v>
      </c>
      <c r="E31" s="140">
        <f t="shared" si="16"/>
        <v>0</v>
      </c>
      <c r="F31" s="141">
        <f t="shared" si="16"/>
        <v>0</v>
      </c>
      <c r="G31" s="141">
        <f t="shared" si="16"/>
        <v>0</v>
      </c>
      <c r="H31" s="141">
        <f t="shared" si="16"/>
        <v>0</v>
      </c>
      <c r="I31" s="143">
        <f t="shared" si="16"/>
        <v>0</v>
      </c>
      <c r="J31" s="144">
        <f t="shared" si="16"/>
        <v>170</v>
      </c>
      <c r="K31" s="143">
        <f t="shared" si="16"/>
        <v>0</v>
      </c>
      <c r="L31" s="143">
        <f t="shared" si="16"/>
        <v>0</v>
      </c>
      <c r="M31" s="167">
        <f t="shared" si="16"/>
        <v>170</v>
      </c>
      <c r="N31" s="167">
        <f t="shared" si="16"/>
        <v>0</v>
      </c>
      <c r="O31" s="167">
        <f t="shared" si="16"/>
        <v>0</v>
      </c>
      <c r="P31" s="167">
        <f t="shared" si="16"/>
        <v>0</v>
      </c>
      <c r="Q31" s="702">
        <f t="shared" si="8"/>
        <v>170</v>
      </c>
    </row>
    <row r="32" spans="1:17" s="150" customFormat="1" ht="18" customHeight="1">
      <c r="A32" s="325"/>
      <c r="B32" s="327" t="str">
        <f t="shared" si="16"/>
        <v>Kondicionavimo sistemų planinis atnaujinimas</v>
      </c>
      <c r="C32" s="138">
        <f t="shared" si="16"/>
        <v>0</v>
      </c>
      <c r="D32" s="139">
        <f t="shared" si="16"/>
        <v>0</v>
      </c>
      <c r="E32" s="140">
        <f t="shared" si="16"/>
        <v>20</v>
      </c>
      <c r="F32" s="141">
        <f t="shared" si="16"/>
        <v>0</v>
      </c>
      <c r="G32" s="141">
        <f t="shared" si="16"/>
        <v>0</v>
      </c>
      <c r="H32" s="141">
        <f t="shared" si="16"/>
        <v>20</v>
      </c>
      <c r="I32" s="143">
        <f t="shared" si="16"/>
        <v>0</v>
      </c>
      <c r="J32" s="144">
        <f t="shared" si="16"/>
        <v>20</v>
      </c>
      <c r="K32" s="143">
        <f t="shared" si="16"/>
        <v>0</v>
      </c>
      <c r="L32" s="143">
        <f t="shared" si="16"/>
        <v>0</v>
      </c>
      <c r="M32" s="167">
        <f t="shared" si="16"/>
        <v>20</v>
      </c>
      <c r="N32" s="167">
        <f t="shared" si="16"/>
        <v>30</v>
      </c>
      <c r="O32" s="167">
        <f t="shared" si="16"/>
        <v>30</v>
      </c>
      <c r="P32" s="167">
        <f t="shared" si="16"/>
        <v>30</v>
      </c>
      <c r="Q32" s="702">
        <f t="shared" si="8"/>
        <v>130</v>
      </c>
    </row>
    <row r="33" spans="1:17" s="150" customFormat="1" ht="18" customHeight="1">
      <c r="A33" s="325"/>
      <c r="B33" s="327" t="str">
        <f t="shared" si="16"/>
        <v>Įrengimų ir įrankių atnaujinimas</v>
      </c>
      <c r="C33" s="138">
        <f>C84+C95+C88+C89+C90</f>
        <v>0</v>
      </c>
      <c r="D33" s="139">
        <f aca="true" t="shared" si="17" ref="D33:P33">D84+D95+D88+D89+D90</f>
        <v>18</v>
      </c>
      <c r="E33" s="140">
        <f t="shared" si="17"/>
        <v>64</v>
      </c>
      <c r="F33" s="141">
        <f t="shared" si="17"/>
        <v>13</v>
      </c>
      <c r="G33" s="141">
        <f t="shared" si="17"/>
        <v>20</v>
      </c>
      <c r="H33" s="141">
        <f t="shared" si="17"/>
        <v>115</v>
      </c>
      <c r="I33" s="143">
        <f t="shared" si="17"/>
        <v>14</v>
      </c>
      <c r="J33" s="144">
        <f t="shared" si="17"/>
        <v>31</v>
      </c>
      <c r="K33" s="144">
        <f t="shared" si="17"/>
        <v>0</v>
      </c>
      <c r="L33" s="143">
        <f t="shared" si="17"/>
        <v>20</v>
      </c>
      <c r="M33" s="167">
        <f t="shared" si="17"/>
        <v>65</v>
      </c>
      <c r="N33" s="167">
        <f t="shared" si="17"/>
        <v>75</v>
      </c>
      <c r="O33" s="167">
        <f t="shared" si="17"/>
        <v>70</v>
      </c>
      <c r="P33" s="167">
        <f t="shared" si="17"/>
        <v>75</v>
      </c>
      <c r="Q33" s="168">
        <f t="shared" si="8"/>
        <v>400</v>
      </c>
    </row>
    <row r="34" spans="1:17" s="150" customFormat="1" ht="18" customHeight="1">
      <c r="A34" s="325"/>
      <c r="B34" s="327" t="str">
        <f>B94</f>
        <v>Elektros paskirstymo įrangos planinis atnaujinimas</v>
      </c>
      <c r="C34" s="138">
        <f aca="true" t="shared" si="18" ref="C34:P34">C94</f>
        <v>0</v>
      </c>
      <c r="D34" s="139">
        <f t="shared" si="18"/>
        <v>0</v>
      </c>
      <c r="E34" s="140">
        <f t="shared" si="18"/>
        <v>0</v>
      </c>
      <c r="F34" s="141">
        <f t="shared" si="18"/>
        <v>80</v>
      </c>
      <c r="G34" s="141">
        <f t="shared" si="18"/>
        <v>0</v>
      </c>
      <c r="H34" s="141">
        <f t="shared" si="18"/>
        <v>80</v>
      </c>
      <c r="I34" s="143">
        <f t="shared" si="18"/>
        <v>0</v>
      </c>
      <c r="J34" s="144">
        <f t="shared" si="18"/>
        <v>50</v>
      </c>
      <c r="K34" s="143">
        <f t="shared" si="18"/>
        <v>40</v>
      </c>
      <c r="L34" s="143">
        <f t="shared" si="18"/>
        <v>0</v>
      </c>
      <c r="M34" s="167">
        <f t="shared" si="18"/>
        <v>90</v>
      </c>
      <c r="N34" s="167">
        <f t="shared" si="18"/>
        <v>90</v>
      </c>
      <c r="O34" s="167">
        <f t="shared" si="18"/>
        <v>90</v>
      </c>
      <c r="P34" s="167">
        <f t="shared" si="18"/>
        <v>90</v>
      </c>
      <c r="Q34" s="702">
        <f t="shared" si="8"/>
        <v>440</v>
      </c>
    </row>
    <row r="35" spans="1:17" s="150" customFormat="1" ht="18" customHeight="1">
      <c r="A35" s="325"/>
      <c r="B35" s="337" t="str">
        <f>B97</f>
        <v>Elektros energijos monitoringo ir ekonomijos sistema</v>
      </c>
      <c r="C35" s="138">
        <f aca="true" t="shared" si="19" ref="C35:P35">C97</f>
        <v>0</v>
      </c>
      <c r="D35" s="139">
        <f t="shared" si="19"/>
        <v>0</v>
      </c>
      <c r="E35" s="140">
        <f t="shared" si="19"/>
        <v>50</v>
      </c>
      <c r="F35" s="141">
        <f t="shared" si="19"/>
        <v>20</v>
      </c>
      <c r="G35" s="141">
        <f t="shared" si="19"/>
        <v>0</v>
      </c>
      <c r="H35" s="141">
        <f t="shared" si="19"/>
        <v>70</v>
      </c>
      <c r="I35" s="143">
        <f t="shared" si="19"/>
        <v>0</v>
      </c>
      <c r="J35" s="144">
        <f t="shared" si="19"/>
        <v>0</v>
      </c>
      <c r="K35" s="143">
        <f t="shared" si="19"/>
        <v>40</v>
      </c>
      <c r="L35" s="143">
        <f t="shared" si="19"/>
        <v>0</v>
      </c>
      <c r="M35" s="167">
        <f t="shared" si="19"/>
        <v>40</v>
      </c>
      <c r="N35" s="167">
        <f t="shared" si="19"/>
        <v>30</v>
      </c>
      <c r="O35" s="167">
        <f t="shared" si="19"/>
        <v>30</v>
      </c>
      <c r="P35" s="167">
        <f t="shared" si="19"/>
        <v>30</v>
      </c>
      <c r="Q35" s="702">
        <f t="shared" si="8"/>
        <v>200</v>
      </c>
    </row>
    <row r="36" spans="1:17" s="150" customFormat="1" ht="18" customHeight="1">
      <c r="A36" s="325"/>
      <c r="B36" s="336"/>
      <c r="C36" s="138"/>
      <c r="D36" s="139"/>
      <c r="E36" s="140"/>
      <c r="F36" s="141"/>
      <c r="G36" s="141"/>
      <c r="H36" s="141"/>
      <c r="I36" s="143"/>
      <c r="J36" s="144"/>
      <c r="K36" s="143"/>
      <c r="L36" s="143"/>
      <c r="M36" s="167"/>
      <c r="N36" s="167"/>
      <c r="O36" s="167"/>
      <c r="P36" s="167"/>
      <c r="Q36" s="168">
        <f t="shared" si="8"/>
        <v>0</v>
      </c>
    </row>
    <row r="37" spans="1:17" s="150" customFormat="1" ht="18" customHeight="1">
      <c r="A37" s="325"/>
      <c r="B37" s="335" t="s">
        <v>44</v>
      </c>
      <c r="C37" s="138">
        <f>SUM(C38:C42)</f>
        <v>0</v>
      </c>
      <c r="D37" s="139">
        <f aca="true" t="shared" si="20" ref="D37:J37">SUM(D38:D42)</f>
        <v>20</v>
      </c>
      <c r="E37" s="140">
        <f t="shared" si="20"/>
        <v>100</v>
      </c>
      <c r="F37" s="141">
        <f t="shared" si="20"/>
        <v>250</v>
      </c>
      <c r="G37" s="141">
        <f t="shared" si="20"/>
        <v>160</v>
      </c>
      <c r="H37" s="141">
        <f t="shared" si="20"/>
        <v>530</v>
      </c>
      <c r="I37" s="143">
        <f t="shared" si="20"/>
        <v>0</v>
      </c>
      <c r="J37" s="144">
        <f t="shared" si="20"/>
        <v>170</v>
      </c>
      <c r="K37" s="143">
        <f aca="true" t="shared" si="21" ref="K37:P37">SUM(K38:K42)</f>
        <v>170</v>
      </c>
      <c r="L37" s="143">
        <f t="shared" si="21"/>
        <v>100</v>
      </c>
      <c r="M37" s="167">
        <f t="shared" si="21"/>
        <v>440</v>
      </c>
      <c r="N37" s="167">
        <f t="shared" si="21"/>
        <v>890</v>
      </c>
      <c r="O37" s="167">
        <f t="shared" si="21"/>
        <v>520</v>
      </c>
      <c r="P37" s="167">
        <f t="shared" si="21"/>
        <v>570</v>
      </c>
      <c r="Q37" s="168">
        <f t="shared" si="8"/>
        <v>2950</v>
      </c>
    </row>
    <row r="38" spans="1:17" s="150" customFormat="1" ht="28.5" customHeight="1">
      <c r="A38" s="325"/>
      <c r="B38" s="327" t="str">
        <f>B70</f>
        <v>Finansinių, gamybinių, pardavimų apskaitos programų diegimas ir vystymas</v>
      </c>
      <c r="C38" s="138">
        <f aca="true" t="shared" si="22" ref="C38:P38">C70</f>
        <v>0</v>
      </c>
      <c r="D38" s="139">
        <f t="shared" si="22"/>
        <v>20</v>
      </c>
      <c r="E38" s="140">
        <f t="shared" si="22"/>
        <v>100</v>
      </c>
      <c r="F38" s="141">
        <f t="shared" si="22"/>
        <v>100</v>
      </c>
      <c r="G38" s="141">
        <f t="shared" si="22"/>
        <v>80</v>
      </c>
      <c r="H38" s="141">
        <f t="shared" si="22"/>
        <v>300</v>
      </c>
      <c r="I38" s="143">
        <f t="shared" si="22"/>
        <v>0</v>
      </c>
      <c r="J38" s="144">
        <f t="shared" si="22"/>
        <v>100</v>
      </c>
      <c r="K38" s="143">
        <f t="shared" si="22"/>
        <v>120</v>
      </c>
      <c r="L38" s="143">
        <f t="shared" si="22"/>
        <v>100</v>
      </c>
      <c r="M38" s="167">
        <f t="shared" si="22"/>
        <v>320</v>
      </c>
      <c r="N38" s="167">
        <f t="shared" si="22"/>
        <v>450</v>
      </c>
      <c r="O38" s="167">
        <f t="shared" si="22"/>
        <v>400</v>
      </c>
      <c r="P38" s="167">
        <f t="shared" si="22"/>
        <v>500</v>
      </c>
      <c r="Q38" s="702">
        <f t="shared" si="8"/>
        <v>1970</v>
      </c>
    </row>
    <row r="39" spans="1:17" s="150" customFormat="1" ht="18" customHeight="1">
      <c r="A39" s="325"/>
      <c r="B39" s="327" t="str">
        <f>B74</f>
        <v>Vienos dispečerinės projektas</v>
      </c>
      <c r="C39" s="138">
        <f aca="true" t="shared" si="23" ref="C39:P39">C74</f>
        <v>0</v>
      </c>
      <c r="D39" s="139">
        <f t="shared" si="23"/>
        <v>0</v>
      </c>
      <c r="E39" s="140">
        <f t="shared" si="23"/>
        <v>0</v>
      </c>
      <c r="F39" s="141">
        <f t="shared" si="23"/>
        <v>0</v>
      </c>
      <c r="G39" s="141">
        <f t="shared" si="23"/>
        <v>30</v>
      </c>
      <c r="H39" s="141">
        <f t="shared" si="23"/>
        <v>30</v>
      </c>
      <c r="I39" s="143">
        <f t="shared" si="23"/>
        <v>0</v>
      </c>
      <c r="J39" s="144">
        <f t="shared" si="23"/>
        <v>40</v>
      </c>
      <c r="K39" s="143">
        <f t="shared" si="23"/>
        <v>0</v>
      </c>
      <c r="L39" s="143">
        <f t="shared" si="23"/>
        <v>0</v>
      </c>
      <c r="M39" s="167">
        <f t="shared" si="23"/>
        <v>40</v>
      </c>
      <c r="N39" s="167">
        <f t="shared" si="23"/>
        <v>40</v>
      </c>
      <c r="O39" s="167">
        <f t="shared" si="23"/>
        <v>40</v>
      </c>
      <c r="P39" s="167">
        <f t="shared" si="23"/>
        <v>40</v>
      </c>
      <c r="Q39" s="702">
        <f t="shared" si="8"/>
        <v>190</v>
      </c>
    </row>
    <row r="40" spans="1:17" s="150" customFormat="1" ht="18" customHeight="1">
      <c r="A40" s="325"/>
      <c r="B40" s="699" t="str">
        <f>B76</f>
        <v>SCADA vystymas</v>
      </c>
      <c r="C40" s="138">
        <f aca="true" t="shared" si="24" ref="C40:P40">C76</f>
        <v>0</v>
      </c>
      <c r="D40" s="139">
        <f t="shared" si="24"/>
        <v>0</v>
      </c>
      <c r="E40" s="140">
        <f t="shared" si="24"/>
        <v>0</v>
      </c>
      <c r="F40" s="141">
        <f t="shared" si="24"/>
        <v>100</v>
      </c>
      <c r="G40" s="141">
        <f t="shared" si="24"/>
        <v>50</v>
      </c>
      <c r="H40" s="141">
        <f t="shared" si="24"/>
        <v>150</v>
      </c>
      <c r="I40" s="143">
        <f t="shared" si="24"/>
        <v>0</v>
      </c>
      <c r="J40" s="144">
        <f t="shared" si="24"/>
        <v>0</v>
      </c>
      <c r="K40" s="143">
        <f t="shared" si="24"/>
        <v>50</v>
      </c>
      <c r="L40" s="143">
        <f t="shared" si="24"/>
        <v>0</v>
      </c>
      <c r="M40" s="167">
        <f t="shared" si="24"/>
        <v>50</v>
      </c>
      <c r="N40" s="167">
        <f t="shared" si="24"/>
        <v>400</v>
      </c>
      <c r="O40" s="167">
        <f t="shared" si="24"/>
        <v>50</v>
      </c>
      <c r="P40" s="167">
        <f t="shared" si="24"/>
        <v>0</v>
      </c>
      <c r="Q40" s="702">
        <f t="shared" si="8"/>
        <v>650</v>
      </c>
    </row>
    <row r="41" spans="1:17" s="150" customFormat="1" ht="18" customHeight="1">
      <c r="A41" s="325"/>
      <c r="B41" s="701" t="str">
        <f>B71</f>
        <v>Techninio aptarnavimo sistemos vystymas</v>
      </c>
      <c r="C41" s="138">
        <f aca="true" t="shared" si="25" ref="C41:P41">C71</f>
        <v>0</v>
      </c>
      <c r="D41" s="139">
        <f t="shared" si="25"/>
        <v>0</v>
      </c>
      <c r="E41" s="140">
        <f t="shared" si="25"/>
        <v>0</v>
      </c>
      <c r="F41" s="141">
        <f t="shared" si="25"/>
        <v>50</v>
      </c>
      <c r="G41" s="141">
        <f t="shared" si="25"/>
        <v>0</v>
      </c>
      <c r="H41" s="141">
        <f t="shared" si="25"/>
        <v>50</v>
      </c>
      <c r="I41" s="143">
        <f t="shared" si="25"/>
        <v>0</v>
      </c>
      <c r="J41" s="144">
        <f t="shared" si="25"/>
        <v>30</v>
      </c>
      <c r="K41" s="143">
        <f t="shared" si="25"/>
        <v>0</v>
      </c>
      <c r="L41" s="143">
        <f t="shared" si="25"/>
        <v>0</v>
      </c>
      <c r="M41" s="167">
        <f t="shared" si="25"/>
        <v>30</v>
      </c>
      <c r="N41" s="167">
        <f t="shared" si="25"/>
        <v>0</v>
      </c>
      <c r="O41" s="167">
        <f t="shared" si="25"/>
        <v>30</v>
      </c>
      <c r="P41" s="167">
        <f t="shared" si="25"/>
        <v>30</v>
      </c>
      <c r="Q41" s="702">
        <f t="shared" si="8"/>
        <v>140</v>
      </c>
    </row>
    <row r="42" spans="1:18" s="150" customFormat="1" ht="18" customHeight="1">
      <c r="A42" s="325"/>
      <c r="B42" s="700"/>
      <c r="C42" s="138"/>
      <c r="D42" s="139"/>
      <c r="E42" s="140"/>
      <c r="F42" s="141"/>
      <c r="G42" s="141"/>
      <c r="H42" s="141"/>
      <c r="I42" s="143"/>
      <c r="J42" s="144"/>
      <c r="K42" s="143"/>
      <c r="L42" s="143"/>
      <c r="M42" s="167"/>
      <c r="N42" s="167"/>
      <c r="O42" s="167"/>
      <c r="P42" s="167"/>
      <c r="Q42" s="702"/>
      <c r="R42" s="169"/>
    </row>
    <row r="43" spans="1:19" s="150" customFormat="1" ht="18" customHeight="1">
      <c r="A43" s="325" t="s">
        <v>172</v>
      </c>
      <c r="B43" s="165" t="s">
        <v>393</v>
      </c>
      <c r="C43" s="138">
        <f aca="true" t="shared" si="26" ref="C43:P43">SUM(C53+C61+C44)</f>
        <v>0</v>
      </c>
      <c r="D43" s="139">
        <f t="shared" si="26"/>
        <v>0</v>
      </c>
      <c r="E43" s="140">
        <f t="shared" si="26"/>
        <v>0</v>
      </c>
      <c r="F43" s="141">
        <f t="shared" si="26"/>
        <v>1000</v>
      </c>
      <c r="G43" s="141">
        <f t="shared" si="26"/>
        <v>50</v>
      </c>
      <c r="H43" s="141">
        <f t="shared" si="26"/>
        <v>1050</v>
      </c>
      <c r="I43" s="143">
        <f t="shared" si="26"/>
        <v>0</v>
      </c>
      <c r="J43" s="144">
        <f t="shared" si="26"/>
        <v>0</v>
      </c>
      <c r="K43" s="143">
        <f t="shared" si="26"/>
        <v>1000</v>
      </c>
      <c r="L43" s="143">
        <f t="shared" si="26"/>
        <v>100</v>
      </c>
      <c r="M43" s="167">
        <f t="shared" si="26"/>
        <v>1100</v>
      </c>
      <c r="N43" s="167">
        <f t="shared" si="26"/>
        <v>50</v>
      </c>
      <c r="O43" s="167">
        <f t="shared" si="26"/>
        <v>50</v>
      </c>
      <c r="P43" s="167">
        <f t="shared" si="26"/>
        <v>50</v>
      </c>
      <c r="Q43" s="702">
        <f t="shared" si="8"/>
        <v>2300</v>
      </c>
      <c r="R43" s="168"/>
      <c r="S43" s="168"/>
    </row>
    <row r="44" spans="1:19" s="150" customFormat="1" ht="18" customHeight="1">
      <c r="A44" s="325"/>
      <c r="B44" s="681" t="s">
        <v>43</v>
      </c>
      <c r="C44" s="138"/>
      <c r="D44" s="139"/>
      <c r="E44" s="140"/>
      <c r="F44" s="141"/>
      <c r="G44" s="141"/>
      <c r="H44" s="141"/>
      <c r="I44" s="143"/>
      <c r="J44" s="144">
        <f>SUM(J45:J52)</f>
        <v>0</v>
      </c>
      <c r="K44" s="143">
        <f aca="true" t="shared" si="27" ref="K44:P44">SUM(K45:K52)</f>
        <v>0</v>
      </c>
      <c r="L44" s="143">
        <f t="shared" si="27"/>
        <v>0</v>
      </c>
      <c r="M44" s="167">
        <f t="shared" si="27"/>
        <v>0</v>
      </c>
      <c r="N44" s="167">
        <f t="shared" si="27"/>
        <v>0</v>
      </c>
      <c r="O44" s="167">
        <f t="shared" si="27"/>
        <v>0</v>
      </c>
      <c r="P44" s="167">
        <f t="shared" si="27"/>
        <v>0</v>
      </c>
      <c r="Q44" s="702">
        <f t="shared" si="8"/>
        <v>0</v>
      </c>
      <c r="S44" s="168"/>
    </row>
    <row r="45" spans="1:19" s="150" customFormat="1" ht="31.5" customHeight="1">
      <c r="A45" s="325"/>
      <c r="B45" s="683"/>
      <c r="C45" s="138"/>
      <c r="D45" s="139"/>
      <c r="E45" s="140"/>
      <c r="F45" s="141"/>
      <c r="G45" s="141"/>
      <c r="H45" s="141"/>
      <c r="I45" s="143"/>
      <c r="J45" s="144"/>
      <c r="K45" s="143"/>
      <c r="L45" s="143"/>
      <c r="M45" s="167"/>
      <c r="N45" s="167"/>
      <c r="O45" s="167"/>
      <c r="P45" s="167"/>
      <c r="Q45" s="702">
        <f t="shared" si="8"/>
        <v>0</v>
      </c>
      <c r="S45" s="168"/>
    </row>
    <row r="46" spans="1:17" s="150" customFormat="1" ht="18" customHeight="1">
      <c r="A46" s="325"/>
      <c r="B46" s="327"/>
      <c r="C46" s="138"/>
      <c r="D46" s="139"/>
      <c r="E46" s="140"/>
      <c r="F46" s="141"/>
      <c r="G46" s="141"/>
      <c r="H46" s="141"/>
      <c r="I46" s="143"/>
      <c r="J46" s="144"/>
      <c r="K46" s="143"/>
      <c r="L46" s="143"/>
      <c r="M46" s="167"/>
      <c r="N46" s="167"/>
      <c r="O46" s="167"/>
      <c r="P46" s="167"/>
      <c r="Q46" s="702">
        <f t="shared" si="8"/>
        <v>0</v>
      </c>
    </row>
    <row r="47" spans="1:17" s="150" customFormat="1" ht="18" customHeight="1">
      <c r="A47" s="325"/>
      <c r="B47" s="327"/>
      <c r="C47" s="138"/>
      <c r="D47" s="139"/>
      <c r="E47" s="140"/>
      <c r="F47" s="141"/>
      <c r="G47" s="141"/>
      <c r="H47" s="141"/>
      <c r="I47" s="143"/>
      <c r="J47" s="144"/>
      <c r="K47" s="143"/>
      <c r="L47" s="143"/>
      <c r="M47" s="167"/>
      <c r="N47" s="167"/>
      <c r="O47" s="167"/>
      <c r="P47" s="167"/>
      <c r="Q47" s="702">
        <f t="shared" si="8"/>
        <v>0</v>
      </c>
    </row>
    <row r="48" spans="1:17" s="150" customFormat="1" ht="18" customHeight="1">
      <c r="A48" s="325"/>
      <c r="B48" s="682"/>
      <c r="C48" s="138"/>
      <c r="D48" s="139"/>
      <c r="E48" s="140"/>
      <c r="F48" s="141"/>
      <c r="G48" s="141"/>
      <c r="H48" s="141"/>
      <c r="I48" s="143"/>
      <c r="J48" s="144"/>
      <c r="K48" s="143"/>
      <c r="L48" s="143"/>
      <c r="M48" s="167"/>
      <c r="N48" s="167"/>
      <c r="O48" s="167"/>
      <c r="P48" s="167"/>
      <c r="Q48" s="702">
        <f t="shared" si="8"/>
        <v>0</v>
      </c>
    </row>
    <row r="49" spans="1:17" s="150" customFormat="1" ht="18" customHeight="1">
      <c r="A49" s="325"/>
      <c r="B49" s="682"/>
      <c r="C49" s="138"/>
      <c r="D49" s="139"/>
      <c r="E49" s="140"/>
      <c r="F49" s="141"/>
      <c r="G49" s="141"/>
      <c r="H49" s="141"/>
      <c r="I49" s="143"/>
      <c r="J49" s="144"/>
      <c r="K49" s="143"/>
      <c r="L49" s="143"/>
      <c r="M49" s="167"/>
      <c r="N49" s="167"/>
      <c r="O49" s="167"/>
      <c r="P49" s="167"/>
      <c r="Q49" s="702">
        <f t="shared" si="8"/>
        <v>0</v>
      </c>
    </row>
    <row r="50" spans="1:17" s="150" customFormat="1" ht="18" customHeight="1">
      <c r="A50" s="325"/>
      <c r="B50" s="682"/>
      <c r="C50" s="138"/>
      <c r="D50" s="139"/>
      <c r="E50" s="140"/>
      <c r="F50" s="141"/>
      <c r="G50" s="141"/>
      <c r="H50" s="141"/>
      <c r="I50" s="143"/>
      <c r="J50" s="144"/>
      <c r="K50" s="143"/>
      <c r="L50" s="143"/>
      <c r="M50" s="167"/>
      <c r="N50" s="167"/>
      <c r="O50" s="167"/>
      <c r="P50" s="167"/>
      <c r="Q50" s="702">
        <f t="shared" si="8"/>
        <v>0</v>
      </c>
    </row>
    <row r="51" spans="1:17" s="150" customFormat="1" ht="18" customHeight="1">
      <c r="A51" s="325"/>
      <c r="B51" s="680"/>
      <c r="C51" s="138"/>
      <c r="D51" s="139"/>
      <c r="E51" s="140"/>
      <c r="F51" s="141"/>
      <c r="G51" s="141"/>
      <c r="H51" s="141"/>
      <c r="I51" s="143"/>
      <c r="J51" s="144"/>
      <c r="K51" s="143"/>
      <c r="L51" s="143"/>
      <c r="M51" s="167"/>
      <c r="N51" s="167"/>
      <c r="O51" s="167"/>
      <c r="P51" s="167"/>
      <c r="Q51" s="702">
        <f t="shared" si="8"/>
        <v>0</v>
      </c>
    </row>
    <row r="52" spans="1:17" s="150" customFormat="1" ht="18" customHeight="1">
      <c r="A52" s="325"/>
      <c r="B52" s="680"/>
      <c r="C52" s="138"/>
      <c r="D52" s="139"/>
      <c r="E52" s="140"/>
      <c r="F52" s="141"/>
      <c r="G52" s="141"/>
      <c r="H52" s="141"/>
      <c r="I52" s="143"/>
      <c r="J52" s="144"/>
      <c r="K52" s="143"/>
      <c r="L52" s="143"/>
      <c r="M52" s="167"/>
      <c r="N52" s="167"/>
      <c r="O52" s="167"/>
      <c r="P52" s="167"/>
      <c r="Q52" s="702">
        <f t="shared" si="8"/>
        <v>0</v>
      </c>
    </row>
    <row r="53" spans="1:17" s="150" customFormat="1" ht="18" customHeight="1">
      <c r="A53" s="325"/>
      <c r="B53" s="335" t="s">
        <v>46</v>
      </c>
      <c r="C53" s="138"/>
      <c r="D53" s="139"/>
      <c r="E53" s="140"/>
      <c r="F53" s="141"/>
      <c r="G53" s="141"/>
      <c r="H53" s="141"/>
      <c r="I53" s="143"/>
      <c r="J53" s="144">
        <f aca="true" t="shared" si="28" ref="J53:P53">SUM(J54:J60)</f>
        <v>0</v>
      </c>
      <c r="K53" s="143">
        <f t="shared" si="28"/>
        <v>0</v>
      </c>
      <c r="L53" s="143">
        <f t="shared" si="28"/>
        <v>0</v>
      </c>
      <c r="M53" s="167">
        <f t="shared" si="28"/>
        <v>0</v>
      </c>
      <c r="N53" s="167">
        <f t="shared" si="28"/>
        <v>0</v>
      </c>
      <c r="O53" s="167">
        <f t="shared" si="28"/>
        <v>0</v>
      </c>
      <c r="P53" s="167">
        <f t="shared" si="28"/>
        <v>0</v>
      </c>
      <c r="Q53" s="702">
        <f t="shared" si="8"/>
        <v>0</v>
      </c>
    </row>
    <row r="54" spans="1:17" s="150" customFormat="1" ht="21" customHeight="1">
      <c r="A54" s="325"/>
      <c r="B54" s="327"/>
      <c r="C54" s="138"/>
      <c r="D54" s="139"/>
      <c r="E54" s="140"/>
      <c r="F54" s="141"/>
      <c r="G54" s="141"/>
      <c r="H54" s="141"/>
      <c r="I54" s="143"/>
      <c r="J54" s="677">
        <f aca="true" t="shared" si="29" ref="J54:P54">SUM(J116+J126)</f>
        <v>0</v>
      </c>
      <c r="K54" s="143">
        <f t="shared" si="29"/>
        <v>0</v>
      </c>
      <c r="L54" s="143">
        <f t="shared" si="29"/>
        <v>0</v>
      </c>
      <c r="M54" s="167">
        <f t="shared" si="29"/>
        <v>0</v>
      </c>
      <c r="N54" s="167">
        <f t="shared" si="29"/>
        <v>0</v>
      </c>
      <c r="O54" s="167">
        <f t="shared" si="29"/>
        <v>0</v>
      </c>
      <c r="P54" s="167">
        <f t="shared" si="29"/>
        <v>0</v>
      </c>
      <c r="Q54" s="702">
        <f t="shared" si="8"/>
        <v>0</v>
      </c>
    </row>
    <row r="55" spans="1:17" s="150" customFormat="1" ht="21" customHeight="1">
      <c r="A55" s="325"/>
      <c r="B55" s="327"/>
      <c r="C55" s="138"/>
      <c r="D55" s="139"/>
      <c r="E55" s="140"/>
      <c r="F55" s="141"/>
      <c r="G55" s="141"/>
      <c r="H55" s="141"/>
      <c r="I55" s="143"/>
      <c r="J55" s="144">
        <f aca="true" t="shared" si="30" ref="J55:P55">SUM(J118+J120+J128+J131)</f>
        <v>0</v>
      </c>
      <c r="K55" s="143">
        <f t="shared" si="30"/>
        <v>0</v>
      </c>
      <c r="L55" s="143">
        <f t="shared" si="30"/>
        <v>0</v>
      </c>
      <c r="M55" s="167">
        <f t="shared" si="30"/>
        <v>0</v>
      </c>
      <c r="N55" s="167">
        <f t="shared" si="30"/>
        <v>0</v>
      </c>
      <c r="O55" s="167">
        <f t="shared" si="30"/>
        <v>0</v>
      </c>
      <c r="P55" s="167">
        <f t="shared" si="30"/>
        <v>0</v>
      </c>
      <c r="Q55" s="702">
        <f t="shared" si="8"/>
        <v>0</v>
      </c>
    </row>
    <row r="56" spans="1:17" s="150" customFormat="1" ht="21" customHeight="1">
      <c r="A56" s="325"/>
      <c r="B56" s="327"/>
      <c r="C56" s="138"/>
      <c r="D56" s="139"/>
      <c r="E56" s="140"/>
      <c r="F56" s="141"/>
      <c r="G56" s="141"/>
      <c r="H56" s="141"/>
      <c r="I56" s="143"/>
      <c r="J56" s="144">
        <f aca="true" t="shared" si="31" ref="J56:P56">SUM(J117)</f>
        <v>0</v>
      </c>
      <c r="K56" s="143">
        <f t="shared" si="31"/>
        <v>0</v>
      </c>
      <c r="L56" s="143">
        <f t="shared" si="31"/>
        <v>0</v>
      </c>
      <c r="M56" s="167">
        <f t="shared" si="31"/>
        <v>0</v>
      </c>
      <c r="N56" s="167">
        <f t="shared" si="31"/>
        <v>0</v>
      </c>
      <c r="O56" s="167">
        <f t="shared" si="31"/>
        <v>0</v>
      </c>
      <c r="P56" s="167">
        <f t="shared" si="31"/>
        <v>0</v>
      </c>
      <c r="Q56" s="702">
        <f t="shared" si="8"/>
        <v>0</v>
      </c>
    </row>
    <row r="57" spans="1:17" s="150" customFormat="1" ht="21" customHeight="1">
      <c r="A57" s="325"/>
      <c r="B57" s="327"/>
      <c r="C57" s="138"/>
      <c r="D57" s="139"/>
      <c r="E57" s="140"/>
      <c r="F57" s="141"/>
      <c r="G57" s="141"/>
      <c r="H57" s="141"/>
      <c r="I57" s="143"/>
      <c r="J57" s="144">
        <f aca="true" t="shared" si="32" ref="J57:P57">SUM(J129+J130)</f>
        <v>0</v>
      </c>
      <c r="K57" s="143">
        <f t="shared" si="32"/>
        <v>0</v>
      </c>
      <c r="L57" s="143">
        <f t="shared" si="32"/>
        <v>0</v>
      </c>
      <c r="M57" s="167">
        <f t="shared" si="32"/>
        <v>0</v>
      </c>
      <c r="N57" s="167">
        <f t="shared" si="32"/>
        <v>0</v>
      </c>
      <c r="O57" s="167">
        <f t="shared" si="32"/>
        <v>0</v>
      </c>
      <c r="P57" s="167">
        <f t="shared" si="32"/>
        <v>0</v>
      </c>
      <c r="Q57" s="702">
        <f t="shared" si="8"/>
        <v>0</v>
      </c>
    </row>
    <row r="58" spans="1:17" s="150" customFormat="1" ht="21" customHeight="1">
      <c r="A58" s="325"/>
      <c r="B58" s="327"/>
      <c r="C58" s="138"/>
      <c r="D58" s="139"/>
      <c r="E58" s="140"/>
      <c r="F58" s="141"/>
      <c r="G58" s="141"/>
      <c r="H58" s="141"/>
      <c r="I58" s="143"/>
      <c r="J58" s="144">
        <f aca="true" t="shared" si="33" ref="J58:P58">SUM(J124)</f>
        <v>0</v>
      </c>
      <c r="K58" s="143">
        <f t="shared" si="33"/>
        <v>0</v>
      </c>
      <c r="L58" s="143">
        <f t="shared" si="33"/>
        <v>0</v>
      </c>
      <c r="M58" s="167">
        <f t="shared" si="33"/>
        <v>0</v>
      </c>
      <c r="N58" s="167">
        <f t="shared" si="33"/>
        <v>0</v>
      </c>
      <c r="O58" s="167">
        <f t="shared" si="33"/>
        <v>0</v>
      </c>
      <c r="P58" s="167">
        <f t="shared" si="33"/>
        <v>0</v>
      </c>
      <c r="Q58" s="702">
        <f t="shared" si="8"/>
        <v>0</v>
      </c>
    </row>
    <row r="59" spans="1:17" s="150" customFormat="1" ht="21" customHeight="1">
      <c r="A59" s="325"/>
      <c r="B59" s="327"/>
      <c r="C59" s="138"/>
      <c r="D59" s="139"/>
      <c r="E59" s="140"/>
      <c r="F59" s="141"/>
      <c r="G59" s="141"/>
      <c r="H59" s="141"/>
      <c r="I59" s="143"/>
      <c r="J59" s="144">
        <f aca="true" t="shared" si="34" ref="J59:P59">SUM(J121)</f>
        <v>0</v>
      </c>
      <c r="K59" s="143">
        <f t="shared" si="34"/>
        <v>0</v>
      </c>
      <c r="L59" s="143">
        <f t="shared" si="34"/>
        <v>0</v>
      </c>
      <c r="M59" s="167">
        <f t="shared" si="34"/>
        <v>0</v>
      </c>
      <c r="N59" s="167">
        <f t="shared" si="34"/>
        <v>0</v>
      </c>
      <c r="O59" s="167">
        <f t="shared" si="34"/>
        <v>0</v>
      </c>
      <c r="P59" s="167">
        <f t="shared" si="34"/>
        <v>0</v>
      </c>
      <c r="Q59" s="702">
        <f t="shared" si="8"/>
        <v>0</v>
      </c>
    </row>
    <row r="60" spans="1:17" s="150" customFormat="1" ht="21" customHeight="1">
      <c r="A60" s="325"/>
      <c r="B60" s="327"/>
      <c r="C60" s="138"/>
      <c r="D60" s="139"/>
      <c r="E60" s="140"/>
      <c r="F60" s="141"/>
      <c r="G60" s="141"/>
      <c r="H60" s="141"/>
      <c r="I60" s="143"/>
      <c r="J60" s="144">
        <f aca="true" t="shared" si="35" ref="J60:P60">SUM(J137)</f>
        <v>0</v>
      </c>
      <c r="K60" s="143">
        <f t="shared" si="35"/>
        <v>0</v>
      </c>
      <c r="L60" s="143">
        <f t="shared" si="35"/>
        <v>0</v>
      </c>
      <c r="M60" s="167">
        <f t="shared" si="35"/>
        <v>0</v>
      </c>
      <c r="N60" s="167">
        <f t="shared" si="35"/>
        <v>0</v>
      </c>
      <c r="O60" s="167">
        <f t="shared" si="35"/>
        <v>0</v>
      </c>
      <c r="P60" s="167">
        <f t="shared" si="35"/>
        <v>0</v>
      </c>
      <c r="Q60" s="702">
        <f t="shared" si="8"/>
        <v>0</v>
      </c>
    </row>
    <row r="61" spans="1:17" s="150" customFormat="1" ht="18" customHeight="1">
      <c r="A61" s="325"/>
      <c r="B61" s="335" t="s">
        <v>44</v>
      </c>
      <c r="C61" s="138">
        <f aca="true" t="shared" si="36" ref="C61:J61">SUM(C62:C64)</f>
        <v>0</v>
      </c>
      <c r="D61" s="139">
        <f t="shared" si="36"/>
        <v>0</v>
      </c>
      <c r="E61" s="140">
        <f t="shared" si="36"/>
        <v>0</v>
      </c>
      <c r="F61" s="141">
        <f t="shared" si="36"/>
        <v>1000</v>
      </c>
      <c r="G61" s="141">
        <f t="shared" si="36"/>
        <v>50</v>
      </c>
      <c r="H61" s="141">
        <f t="shared" si="36"/>
        <v>1050</v>
      </c>
      <c r="I61" s="143">
        <f t="shared" si="36"/>
        <v>0</v>
      </c>
      <c r="J61" s="144">
        <f t="shared" si="36"/>
        <v>0</v>
      </c>
      <c r="K61" s="144">
        <f aca="true" t="shared" si="37" ref="K61:P61">SUM(K62:K64)</f>
        <v>1000</v>
      </c>
      <c r="L61" s="144">
        <f t="shared" si="37"/>
        <v>100</v>
      </c>
      <c r="M61" s="167">
        <f t="shared" si="37"/>
        <v>1100</v>
      </c>
      <c r="N61" s="167">
        <f t="shared" si="37"/>
        <v>50</v>
      </c>
      <c r="O61" s="167">
        <f t="shared" si="37"/>
        <v>50</v>
      </c>
      <c r="P61" s="167">
        <f t="shared" si="37"/>
        <v>50</v>
      </c>
      <c r="Q61" s="702">
        <f t="shared" si="8"/>
        <v>2300</v>
      </c>
    </row>
    <row r="62" spans="1:17" s="150" customFormat="1" ht="17.25" customHeight="1">
      <c r="A62" s="325"/>
      <c r="B62" s="700" t="str">
        <f>B77</f>
        <v>Objektų valdymo automatizavimas</v>
      </c>
      <c r="C62" s="764">
        <f aca="true" t="shared" si="38" ref="C62:P62">C77</f>
        <v>0</v>
      </c>
      <c r="D62" s="765">
        <f t="shared" si="38"/>
        <v>0</v>
      </c>
      <c r="E62" s="766">
        <f t="shared" si="38"/>
        <v>0</v>
      </c>
      <c r="F62" s="767">
        <f t="shared" si="38"/>
        <v>1000</v>
      </c>
      <c r="G62" s="767">
        <f t="shared" si="38"/>
        <v>50</v>
      </c>
      <c r="H62" s="767">
        <f t="shared" si="38"/>
        <v>1050</v>
      </c>
      <c r="I62" s="768">
        <f t="shared" si="38"/>
        <v>0</v>
      </c>
      <c r="J62" s="769">
        <f t="shared" si="38"/>
        <v>0</v>
      </c>
      <c r="K62" s="768">
        <f t="shared" si="38"/>
        <v>1000</v>
      </c>
      <c r="L62" s="768">
        <f t="shared" si="38"/>
        <v>100</v>
      </c>
      <c r="M62" s="770">
        <f t="shared" si="38"/>
        <v>1100</v>
      </c>
      <c r="N62" s="770">
        <f t="shared" si="38"/>
        <v>50</v>
      </c>
      <c r="O62" s="770">
        <f t="shared" si="38"/>
        <v>50</v>
      </c>
      <c r="P62" s="770">
        <f t="shared" si="38"/>
        <v>50</v>
      </c>
      <c r="Q62" s="702">
        <f t="shared" si="8"/>
        <v>2300</v>
      </c>
    </row>
    <row r="63" spans="1:17" s="150" customFormat="1" ht="17.25" customHeight="1">
      <c r="A63" s="325"/>
      <c r="B63" s="686"/>
      <c r="C63" s="138"/>
      <c r="D63" s="139"/>
      <c r="E63" s="140"/>
      <c r="F63" s="141"/>
      <c r="G63" s="141"/>
      <c r="H63" s="141"/>
      <c r="I63" s="143"/>
      <c r="J63" s="144"/>
      <c r="K63" s="143"/>
      <c r="L63" s="143"/>
      <c r="M63" s="167"/>
      <c r="N63" s="167"/>
      <c r="O63" s="167"/>
      <c r="P63" s="167"/>
      <c r="Q63" s="702">
        <f t="shared" si="8"/>
        <v>0</v>
      </c>
    </row>
    <row r="64" spans="1:17" s="150" customFormat="1" ht="18" customHeight="1">
      <c r="A64" s="325"/>
      <c r="B64" s="686"/>
      <c r="C64" s="138"/>
      <c r="D64" s="139"/>
      <c r="E64" s="140"/>
      <c r="F64" s="141"/>
      <c r="G64" s="141"/>
      <c r="H64" s="141"/>
      <c r="I64" s="143"/>
      <c r="J64" s="144"/>
      <c r="K64" s="143"/>
      <c r="L64" s="143"/>
      <c r="M64" s="167"/>
      <c r="N64" s="167"/>
      <c r="O64" s="167"/>
      <c r="P64" s="167"/>
      <c r="Q64" s="702">
        <f t="shared" si="8"/>
        <v>0</v>
      </c>
    </row>
    <row r="65" spans="1:17" s="150" customFormat="1" ht="18" customHeight="1">
      <c r="A65" s="690"/>
      <c r="B65" s="691"/>
      <c r="C65" s="692"/>
      <c r="D65" s="693"/>
      <c r="E65" s="694"/>
      <c r="F65" s="694"/>
      <c r="G65" s="694"/>
      <c r="H65" s="694"/>
      <c r="I65" s="695"/>
      <c r="J65" s="696"/>
      <c r="K65" s="695"/>
      <c r="L65" s="695"/>
      <c r="M65" s="697"/>
      <c r="N65" s="697"/>
      <c r="O65" s="697"/>
      <c r="P65" s="697"/>
      <c r="Q65" s="702">
        <f t="shared" si="8"/>
        <v>0</v>
      </c>
    </row>
    <row r="66" spans="1:18" s="521" customFormat="1" ht="18" customHeight="1">
      <c r="A66" s="149"/>
      <c r="B66" s="518" t="s">
        <v>351</v>
      </c>
      <c r="C66" s="519"/>
      <c r="D66" s="520">
        <f>SUM(D67,D79,D87,D93)</f>
        <v>38</v>
      </c>
      <c r="E66" s="520">
        <f>SUM(E67,E79,E87,E93)</f>
        <v>894</v>
      </c>
      <c r="F66" s="520">
        <f>SUM(F67,F79,F87,F93)</f>
        <v>1703</v>
      </c>
      <c r="G66" s="520">
        <f>SUM(G67,G79,G87,G93)</f>
        <v>350</v>
      </c>
      <c r="H66" s="520">
        <f>SUM(D66:G66)</f>
        <v>2985</v>
      </c>
      <c r="I66" s="520">
        <f>SUM(I67,I79,I87,I93)</f>
        <v>164</v>
      </c>
      <c r="J66" s="520">
        <f>SUM(J67,J79,J87,J93)</f>
        <v>751</v>
      </c>
      <c r="K66" s="520">
        <f>SUM(K67,K79,K87,K93)</f>
        <v>2150</v>
      </c>
      <c r="L66" s="520">
        <f>SUM(L67,L79,L87,L93)</f>
        <v>340</v>
      </c>
      <c r="M66" s="520">
        <f>SUM(I66:L66)</f>
        <v>3405</v>
      </c>
      <c r="N66" s="520">
        <f>SUM(N67,N79,N87,N93)</f>
        <v>2705</v>
      </c>
      <c r="O66" s="520">
        <f>SUM(O67,O79,O87,O93)</f>
        <v>2180</v>
      </c>
      <c r="P66" s="520">
        <f>SUM(P67,P79,P87,P93)</f>
        <v>2235</v>
      </c>
      <c r="Q66" s="698">
        <f>SUM(H66+M66+N66+O66+P66)</f>
        <v>13510</v>
      </c>
      <c r="R66" s="521">
        <f>Q67+Q79+Q87+Q93</f>
        <v>13510</v>
      </c>
    </row>
    <row r="67" spans="1:17" s="521" customFormat="1" ht="18" customHeight="1">
      <c r="A67" s="522"/>
      <c r="B67" s="523" t="s">
        <v>352</v>
      </c>
      <c r="C67" s="524"/>
      <c r="D67" s="525">
        <f>SUM(D68:D78)</f>
        <v>20</v>
      </c>
      <c r="E67" s="525">
        <f>SUM(E68:E78)</f>
        <v>490</v>
      </c>
      <c r="F67" s="525">
        <f>SUM(F68:F78)</f>
        <v>1380</v>
      </c>
      <c r="G67" s="525">
        <f>SUM(G68:G78)</f>
        <v>330</v>
      </c>
      <c r="H67" s="526">
        <f>SUM(D67:G67)</f>
        <v>2220</v>
      </c>
      <c r="I67" s="525">
        <f>SUM(I68:I78)</f>
        <v>150</v>
      </c>
      <c r="J67" s="525">
        <f>SUM(J68:J78)</f>
        <v>430</v>
      </c>
      <c r="K67" s="525">
        <f>SUM(K68:K78)</f>
        <v>1620</v>
      </c>
      <c r="L67" s="525">
        <f>SUM(L68:L78)</f>
        <v>220</v>
      </c>
      <c r="M67" s="526">
        <f>SUM(I67:L67)</f>
        <v>2420</v>
      </c>
      <c r="N67" s="525">
        <f>SUM(N68:N78)</f>
        <v>2080</v>
      </c>
      <c r="O67" s="525">
        <f>SUM(O68:O78)</f>
        <v>1460</v>
      </c>
      <c r="P67" s="524">
        <f>SUM(P68:P78)</f>
        <v>1510</v>
      </c>
      <c r="Q67" s="521">
        <f>SUM(H67+M67+N67+O67+P67)</f>
        <v>9690</v>
      </c>
    </row>
    <row r="68" spans="1:17" s="150" customFormat="1" ht="39" customHeight="1">
      <c r="A68" s="527"/>
      <c r="B68" s="528" t="s">
        <v>353</v>
      </c>
      <c r="C68" s="529"/>
      <c r="D68" s="530"/>
      <c r="E68" s="531">
        <v>150</v>
      </c>
      <c r="F68" s="532"/>
      <c r="G68" s="533">
        <v>100</v>
      </c>
      <c r="H68" s="529">
        <f>SUM(D68:G68)</f>
        <v>250</v>
      </c>
      <c r="I68" s="534">
        <v>150</v>
      </c>
      <c r="J68" s="531">
        <v>50</v>
      </c>
      <c r="K68" s="891">
        <v>150</v>
      </c>
      <c r="L68" s="533"/>
      <c r="M68" s="535">
        <f>SUM(I68:L68)</f>
        <v>350</v>
      </c>
      <c r="N68" s="535">
        <v>700</v>
      </c>
      <c r="O68" s="535">
        <v>300</v>
      </c>
      <c r="P68" s="535">
        <v>300</v>
      </c>
      <c r="Q68" s="521">
        <f aca="true" t="shared" si="39" ref="Q68:Q97">SUM(H68+M68+N68+O68+P68)</f>
        <v>1900</v>
      </c>
    </row>
    <row r="69" spans="1:17" s="150" customFormat="1" ht="20.25" customHeight="1">
      <c r="A69" s="527"/>
      <c r="B69" s="536" t="s">
        <v>354</v>
      </c>
      <c r="C69" s="529"/>
      <c r="D69" s="530"/>
      <c r="E69" s="537">
        <v>40</v>
      </c>
      <c r="F69" s="532"/>
      <c r="G69" s="538">
        <v>20</v>
      </c>
      <c r="H69" s="529">
        <f aca="true" t="shared" si="40" ref="H69:H78">SUM(D69:G69)</f>
        <v>60</v>
      </c>
      <c r="I69" s="530"/>
      <c r="J69" s="532">
        <v>20</v>
      </c>
      <c r="K69" s="708"/>
      <c r="L69" s="538">
        <v>20</v>
      </c>
      <c r="M69" s="535">
        <f aca="true" t="shared" si="41" ref="M69:M78">SUM(I69:L69)</f>
        <v>40</v>
      </c>
      <c r="N69" s="535">
        <v>40</v>
      </c>
      <c r="O69" s="535">
        <v>40</v>
      </c>
      <c r="P69" s="535">
        <v>40</v>
      </c>
      <c r="Q69" s="521">
        <f t="shared" si="39"/>
        <v>220</v>
      </c>
    </row>
    <row r="70" spans="1:17" s="150" customFormat="1" ht="32.25" customHeight="1">
      <c r="A70" s="527"/>
      <c r="B70" s="528" t="s">
        <v>355</v>
      </c>
      <c r="C70" s="529"/>
      <c r="D70" s="530">
        <v>20</v>
      </c>
      <c r="E70" s="532">
        <v>100</v>
      </c>
      <c r="F70" s="532">
        <v>100</v>
      </c>
      <c r="G70" s="538">
        <v>80</v>
      </c>
      <c r="H70" s="529">
        <f t="shared" si="40"/>
        <v>300</v>
      </c>
      <c r="I70" s="530"/>
      <c r="J70" s="532">
        <v>100</v>
      </c>
      <c r="K70" s="708">
        <v>120</v>
      </c>
      <c r="L70" s="538">
        <v>100</v>
      </c>
      <c r="M70" s="535">
        <f t="shared" si="41"/>
        <v>320</v>
      </c>
      <c r="N70" s="535">
        <v>450</v>
      </c>
      <c r="O70" s="535">
        <v>400</v>
      </c>
      <c r="P70" s="535">
        <v>500</v>
      </c>
      <c r="Q70" s="521">
        <f t="shared" si="39"/>
        <v>1970</v>
      </c>
    </row>
    <row r="71" spans="1:17" s="150" customFormat="1" ht="25.5" customHeight="1">
      <c r="A71" s="527"/>
      <c r="B71" s="536" t="s">
        <v>356</v>
      </c>
      <c r="C71" s="529"/>
      <c r="D71" s="530"/>
      <c r="E71" s="532"/>
      <c r="F71" s="532">
        <v>50</v>
      </c>
      <c r="G71" s="538"/>
      <c r="H71" s="529">
        <f t="shared" si="40"/>
        <v>50</v>
      </c>
      <c r="I71" s="530"/>
      <c r="J71" s="532">
        <v>30</v>
      </c>
      <c r="K71" s="708"/>
      <c r="L71" s="538"/>
      <c r="M71" s="535">
        <f t="shared" si="41"/>
        <v>30</v>
      </c>
      <c r="N71" s="535"/>
      <c r="O71" s="535">
        <v>30</v>
      </c>
      <c r="P71" s="535">
        <v>30</v>
      </c>
      <c r="Q71" s="521">
        <f t="shared" si="39"/>
        <v>140</v>
      </c>
    </row>
    <row r="72" spans="1:17" ht="24" customHeight="1">
      <c r="A72" s="539"/>
      <c r="B72" s="540" t="s">
        <v>424</v>
      </c>
      <c r="C72" s="529">
        <v>0</v>
      </c>
      <c r="D72" s="530">
        <v>0</v>
      </c>
      <c r="E72" s="532">
        <v>60</v>
      </c>
      <c r="F72" s="532">
        <v>80</v>
      </c>
      <c r="G72" s="538">
        <v>0</v>
      </c>
      <c r="H72" s="529">
        <f t="shared" si="40"/>
        <v>140</v>
      </c>
      <c r="I72" s="530"/>
      <c r="J72" s="532">
        <v>100</v>
      </c>
      <c r="K72" s="708">
        <v>100</v>
      </c>
      <c r="L72" s="538">
        <v>0</v>
      </c>
      <c r="M72" s="535">
        <f t="shared" si="41"/>
        <v>200</v>
      </c>
      <c r="N72" s="535">
        <v>100</v>
      </c>
      <c r="O72" s="535">
        <v>200</v>
      </c>
      <c r="P72" s="535">
        <v>100</v>
      </c>
      <c r="Q72" s="521">
        <f t="shared" si="39"/>
        <v>740</v>
      </c>
    </row>
    <row r="73" spans="1:17" ht="15.75" customHeight="1">
      <c r="A73" s="539"/>
      <c r="B73" s="540" t="s">
        <v>357</v>
      </c>
      <c r="C73" s="529"/>
      <c r="D73" s="530">
        <v>0</v>
      </c>
      <c r="E73" s="532">
        <v>100</v>
      </c>
      <c r="F73" s="532"/>
      <c r="G73" s="538">
        <v>0</v>
      </c>
      <c r="H73" s="529">
        <f t="shared" si="40"/>
        <v>100</v>
      </c>
      <c r="I73" s="530">
        <v>0</v>
      </c>
      <c r="J73" s="532">
        <v>50</v>
      </c>
      <c r="K73" s="708">
        <v>100</v>
      </c>
      <c r="L73" s="538"/>
      <c r="M73" s="535">
        <f t="shared" si="41"/>
        <v>150</v>
      </c>
      <c r="N73" s="535">
        <v>150</v>
      </c>
      <c r="O73" s="535">
        <v>200</v>
      </c>
      <c r="P73" s="535">
        <v>300</v>
      </c>
      <c r="Q73" s="521">
        <f t="shared" si="39"/>
        <v>900</v>
      </c>
    </row>
    <row r="74" spans="1:17" s="150" customFormat="1" ht="21" customHeight="1">
      <c r="A74" s="527"/>
      <c r="B74" s="541" t="s">
        <v>358</v>
      </c>
      <c r="C74" s="529">
        <v>0</v>
      </c>
      <c r="D74" s="530"/>
      <c r="E74" s="532">
        <v>0</v>
      </c>
      <c r="F74" s="532"/>
      <c r="G74" s="538">
        <v>30</v>
      </c>
      <c r="H74" s="529">
        <f t="shared" si="40"/>
        <v>30</v>
      </c>
      <c r="I74" s="530">
        <v>0</v>
      </c>
      <c r="J74" s="532">
        <v>40</v>
      </c>
      <c r="K74" s="708"/>
      <c r="L74" s="538">
        <v>0</v>
      </c>
      <c r="M74" s="535">
        <f t="shared" si="41"/>
        <v>40</v>
      </c>
      <c r="N74" s="535">
        <v>40</v>
      </c>
      <c r="O74" s="535">
        <v>40</v>
      </c>
      <c r="P74" s="535">
        <v>40</v>
      </c>
      <c r="Q74" s="521">
        <f t="shared" si="39"/>
        <v>190</v>
      </c>
    </row>
    <row r="75" spans="1:17" s="150" customFormat="1" ht="24.75" customHeight="1">
      <c r="A75" s="542"/>
      <c r="B75" s="536" t="s">
        <v>359</v>
      </c>
      <c r="C75" s="529">
        <v>0</v>
      </c>
      <c r="D75" s="530">
        <v>0</v>
      </c>
      <c r="E75" s="532">
        <v>0</v>
      </c>
      <c r="F75" s="532">
        <v>50</v>
      </c>
      <c r="G75" s="538">
        <v>0</v>
      </c>
      <c r="H75" s="529">
        <f t="shared" si="40"/>
        <v>50</v>
      </c>
      <c r="I75" s="530">
        <v>0</v>
      </c>
      <c r="J75" s="532">
        <v>40</v>
      </c>
      <c r="K75" s="708">
        <v>60</v>
      </c>
      <c r="L75" s="538">
        <v>0</v>
      </c>
      <c r="M75" s="535">
        <f t="shared" si="41"/>
        <v>100</v>
      </c>
      <c r="N75" s="535">
        <v>150</v>
      </c>
      <c r="O75" s="535">
        <v>150</v>
      </c>
      <c r="P75" s="535">
        <v>150</v>
      </c>
      <c r="Q75" s="521">
        <f t="shared" si="39"/>
        <v>600</v>
      </c>
    </row>
    <row r="76" spans="1:17" ht="12.75" customHeight="1">
      <c r="A76" s="539"/>
      <c r="B76" s="543" t="s">
        <v>360</v>
      </c>
      <c r="C76" s="529">
        <v>0</v>
      </c>
      <c r="D76" s="530">
        <v>0</v>
      </c>
      <c r="E76" s="532">
        <v>0</v>
      </c>
      <c r="F76" s="532">
        <v>100</v>
      </c>
      <c r="G76" s="538">
        <v>50</v>
      </c>
      <c r="H76" s="535">
        <f t="shared" si="40"/>
        <v>150</v>
      </c>
      <c r="I76" s="530">
        <v>0</v>
      </c>
      <c r="J76" s="532">
        <v>0</v>
      </c>
      <c r="K76" s="708">
        <v>50</v>
      </c>
      <c r="L76" s="538">
        <v>0</v>
      </c>
      <c r="M76" s="535">
        <f t="shared" si="41"/>
        <v>50</v>
      </c>
      <c r="N76" s="535">
        <v>400</v>
      </c>
      <c r="O76" s="535">
        <v>50</v>
      </c>
      <c r="P76" s="535">
        <v>0</v>
      </c>
      <c r="Q76" s="521">
        <f t="shared" si="39"/>
        <v>650</v>
      </c>
    </row>
    <row r="77" spans="1:17" ht="12.75" customHeight="1">
      <c r="A77" s="539"/>
      <c r="B77" s="543" t="s">
        <v>361</v>
      </c>
      <c r="C77" s="529"/>
      <c r="D77" s="530">
        <v>0</v>
      </c>
      <c r="E77" s="532">
        <v>0</v>
      </c>
      <c r="F77" s="532">
        <v>1000</v>
      </c>
      <c r="G77" s="538">
        <v>50</v>
      </c>
      <c r="H77" s="535">
        <f t="shared" si="40"/>
        <v>1050</v>
      </c>
      <c r="I77" s="530">
        <v>0</v>
      </c>
      <c r="J77" s="532">
        <v>0</v>
      </c>
      <c r="K77" s="708">
        <v>1000</v>
      </c>
      <c r="L77" s="538">
        <v>100</v>
      </c>
      <c r="M77" s="535">
        <f t="shared" si="41"/>
        <v>1100</v>
      </c>
      <c r="N77" s="535">
        <v>50</v>
      </c>
      <c r="O77" s="535">
        <v>50</v>
      </c>
      <c r="P77" s="535">
        <v>50</v>
      </c>
      <c r="Q77" s="521">
        <f t="shared" si="39"/>
        <v>2300</v>
      </c>
    </row>
    <row r="78" spans="1:17" ht="12.75" customHeight="1">
      <c r="A78" s="539"/>
      <c r="B78" s="543" t="s">
        <v>362</v>
      </c>
      <c r="C78" s="529"/>
      <c r="D78" s="530"/>
      <c r="E78" s="537">
        <v>40</v>
      </c>
      <c r="F78" s="532"/>
      <c r="G78" s="538"/>
      <c r="H78" s="529">
        <f t="shared" si="40"/>
        <v>40</v>
      </c>
      <c r="I78" s="530"/>
      <c r="J78" s="532"/>
      <c r="K78" s="708">
        <v>40</v>
      </c>
      <c r="L78" s="538"/>
      <c r="M78" s="535">
        <f t="shared" si="41"/>
        <v>40</v>
      </c>
      <c r="N78" s="535"/>
      <c r="O78" s="535"/>
      <c r="P78" s="535"/>
      <c r="Q78" s="521">
        <f t="shared" si="39"/>
        <v>80</v>
      </c>
    </row>
    <row r="79" spans="1:17" ht="12.75" customHeight="1">
      <c r="A79" s="539"/>
      <c r="B79" s="544" t="s">
        <v>363</v>
      </c>
      <c r="C79" s="545"/>
      <c r="D79" s="546">
        <f>SUM(D80:D86)</f>
        <v>8</v>
      </c>
      <c r="E79" s="546">
        <f>SUM(E80:E86)</f>
        <v>299</v>
      </c>
      <c r="F79" s="546">
        <f>SUM(F80:F86)</f>
        <v>133</v>
      </c>
      <c r="G79" s="546">
        <f>SUM(G80:G86)</f>
        <v>0</v>
      </c>
      <c r="H79" s="547">
        <f aca="true" t="shared" si="42" ref="H79:H97">SUM(D79:G79)</f>
        <v>440</v>
      </c>
      <c r="I79" s="546">
        <f>SUM(I80:I86)</f>
        <v>4</v>
      </c>
      <c r="J79" s="546">
        <f>SUM(J80:J86)</f>
        <v>196</v>
      </c>
      <c r="K79" s="892">
        <f>SUM(K80:K86)</f>
        <v>400</v>
      </c>
      <c r="L79" s="546">
        <f>SUM(L80:L86)</f>
        <v>0</v>
      </c>
      <c r="M79" s="547">
        <f aca="true" t="shared" si="43" ref="M79:M97">SUM(I79:L79)</f>
        <v>600</v>
      </c>
      <c r="N79" s="546">
        <f>SUM(N80:N86)</f>
        <v>240</v>
      </c>
      <c r="O79" s="546">
        <f>SUM(O80:O86)</f>
        <v>340</v>
      </c>
      <c r="P79" s="688">
        <f>SUM(P80:P86)</f>
        <v>350</v>
      </c>
      <c r="Q79" s="521">
        <f t="shared" si="39"/>
        <v>1970</v>
      </c>
    </row>
    <row r="80" spans="1:17" s="193" customFormat="1" ht="18.75" customHeight="1">
      <c r="A80" s="539"/>
      <c r="B80" s="548" t="s">
        <v>364</v>
      </c>
      <c r="C80" s="549"/>
      <c r="D80" s="550"/>
      <c r="E80" s="551"/>
      <c r="F80" s="551"/>
      <c r="G80" s="552"/>
      <c r="H80" s="553">
        <f t="shared" si="42"/>
        <v>0</v>
      </c>
      <c r="I80" s="550"/>
      <c r="J80" s="554"/>
      <c r="K80" s="893">
        <v>400</v>
      </c>
      <c r="L80" s="556"/>
      <c r="M80" s="553">
        <f t="shared" si="43"/>
        <v>400</v>
      </c>
      <c r="N80" s="557">
        <v>200</v>
      </c>
      <c r="O80" s="557">
        <v>300</v>
      </c>
      <c r="P80" s="557">
        <v>300</v>
      </c>
      <c r="Q80" s="521">
        <f t="shared" si="39"/>
        <v>1200</v>
      </c>
    </row>
    <row r="81" spans="1:17" s="193" customFormat="1" ht="18.75" customHeight="1">
      <c r="A81" s="539"/>
      <c r="B81" s="558" t="s">
        <v>365</v>
      </c>
      <c r="C81" s="559"/>
      <c r="D81" s="560"/>
      <c r="E81" s="561">
        <v>230</v>
      </c>
      <c r="F81" s="562"/>
      <c r="G81" s="563"/>
      <c r="H81" s="553">
        <f t="shared" si="42"/>
        <v>230</v>
      </c>
      <c r="I81" s="560"/>
      <c r="J81" s="561"/>
      <c r="K81" s="704"/>
      <c r="L81" s="563"/>
      <c r="M81" s="553">
        <f t="shared" si="43"/>
        <v>0</v>
      </c>
      <c r="N81" s="564"/>
      <c r="O81" s="564"/>
      <c r="P81" s="564"/>
      <c r="Q81" s="521">
        <f t="shared" si="39"/>
        <v>230</v>
      </c>
    </row>
    <row r="82" spans="1:17" s="193" customFormat="1" ht="18.75" customHeight="1">
      <c r="A82" s="539"/>
      <c r="B82" s="565" t="s">
        <v>366</v>
      </c>
      <c r="C82" s="566"/>
      <c r="D82" s="567"/>
      <c r="E82" s="554"/>
      <c r="F82" s="554"/>
      <c r="G82" s="556"/>
      <c r="H82" s="553">
        <f t="shared" si="42"/>
        <v>0</v>
      </c>
      <c r="I82" s="568"/>
      <c r="J82" s="554">
        <v>170</v>
      </c>
      <c r="K82" s="703"/>
      <c r="L82" s="556"/>
      <c r="M82" s="553">
        <f t="shared" si="43"/>
        <v>170</v>
      </c>
      <c r="N82" s="569"/>
      <c r="O82" s="569"/>
      <c r="P82" s="569"/>
      <c r="Q82" s="521">
        <f t="shared" si="39"/>
        <v>170</v>
      </c>
    </row>
    <row r="83" spans="1:17" s="193" customFormat="1" ht="18.75" customHeight="1">
      <c r="A83" s="539"/>
      <c r="B83" s="565" t="s">
        <v>367</v>
      </c>
      <c r="C83" s="566"/>
      <c r="D83" s="567"/>
      <c r="E83" s="570">
        <v>20</v>
      </c>
      <c r="F83" s="554"/>
      <c r="G83" s="556"/>
      <c r="H83" s="553">
        <f t="shared" si="42"/>
        <v>20</v>
      </c>
      <c r="I83" s="568"/>
      <c r="J83" s="554">
        <v>20</v>
      </c>
      <c r="K83" s="703"/>
      <c r="L83" s="556"/>
      <c r="M83" s="553">
        <f t="shared" si="43"/>
        <v>20</v>
      </c>
      <c r="N83" s="569">
        <v>30</v>
      </c>
      <c r="O83" s="569">
        <v>30</v>
      </c>
      <c r="P83" s="569">
        <v>30</v>
      </c>
      <c r="Q83" s="521">
        <f t="shared" si="39"/>
        <v>130</v>
      </c>
    </row>
    <row r="84" spans="1:19" s="193" customFormat="1" ht="18.75" customHeight="1">
      <c r="A84" s="539"/>
      <c r="B84" s="565" t="s">
        <v>368</v>
      </c>
      <c r="C84" s="559"/>
      <c r="D84" s="560">
        <v>8</v>
      </c>
      <c r="E84" s="561">
        <v>9</v>
      </c>
      <c r="F84" s="561">
        <v>3</v>
      </c>
      <c r="G84" s="563">
        <v>0</v>
      </c>
      <c r="H84" s="553">
        <f t="shared" si="42"/>
        <v>20</v>
      </c>
      <c r="I84" s="560">
        <v>4</v>
      </c>
      <c r="J84" s="561">
        <v>6</v>
      </c>
      <c r="K84" s="704">
        <v>0</v>
      </c>
      <c r="L84" s="563">
        <v>0</v>
      </c>
      <c r="M84" s="553">
        <f t="shared" si="43"/>
        <v>10</v>
      </c>
      <c r="N84" s="571">
        <v>10</v>
      </c>
      <c r="O84" s="571">
        <v>10</v>
      </c>
      <c r="P84" s="571">
        <v>20</v>
      </c>
      <c r="Q84" s="521">
        <f t="shared" si="39"/>
        <v>70</v>
      </c>
      <c r="S84" s="193">
        <f>Q84+Q88+Q89+Q90+Q95</f>
        <v>400</v>
      </c>
    </row>
    <row r="85" spans="1:17" s="193" customFormat="1" ht="27.75" customHeight="1">
      <c r="A85" s="539"/>
      <c r="B85" s="572" t="s">
        <v>369</v>
      </c>
      <c r="C85" s="549"/>
      <c r="D85" s="550"/>
      <c r="E85" s="551"/>
      <c r="F85" s="555">
        <v>130</v>
      </c>
      <c r="G85" s="573"/>
      <c r="H85" s="553">
        <f t="shared" si="42"/>
        <v>130</v>
      </c>
      <c r="I85" s="568"/>
      <c r="J85" s="554"/>
      <c r="K85" s="703"/>
      <c r="L85" s="556"/>
      <c r="M85" s="553">
        <f t="shared" si="43"/>
        <v>0</v>
      </c>
      <c r="N85" s="569"/>
      <c r="O85" s="569"/>
      <c r="P85" s="569"/>
      <c r="Q85" s="521">
        <f t="shared" si="39"/>
        <v>130</v>
      </c>
    </row>
    <row r="86" spans="1:17" s="193" customFormat="1" ht="26.25" customHeight="1">
      <c r="A86" s="539"/>
      <c r="B86" s="572" t="s">
        <v>370</v>
      </c>
      <c r="C86" s="549"/>
      <c r="D86" s="550"/>
      <c r="E86" s="555">
        <v>40</v>
      </c>
      <c r="F86" s="555"/>
      <c r="G86" s="573"/>
      <c r="H86" s="553">
        <f t="shared" si="42"/>
        <v>40</v>
      </c>
      <c r="I86" s="568"/>
      <c r="J86" s="554"/>
      <c r="K86" s="703"/>
      <c r="L86" s="556"/>
      <c r="M86" s="553">
        <f t="shared" si="43"/>
        <v>0</v>
      </c>
      <c r="N86" s="569"/>
      <c r="O86" s="569"/>
      <c r="P86" s="569"/>
      <c r="Q86" s="521">
        <f t="shared" si="39"/>
        <v>40</v>
      </c>
    </row>
    <row r="87" spans="1:17" ht="12.75" customHeight="1">
      <c r="A87" s="539"/>
      <c r="B87" s="544" t="s">
        <v>371</v>
      </c>
      <c r="C87" s="545"/>
      <c r="D87" s="574">
        <f>SUM(D88:D92)</f>
        <v>10</v>
      </c>
      <c r="E87" s="574">
        <f>SUM(E88:E92)</f>
        <v>55</v>
      </c>
      <c r="F87" s="574">
        <f>SUM(F88:F92)</f>
        <v>50</v>
      </c>
      <c r="G87" s="574">
        <f>SUM(G88:G92)</f>
        <v>20</v>
      </c>
      <c r="H87" s="575">
        <f t="shared" si="42"/>
        <v>135</v>
      </c>
      <c r="I87" s="574">
        <f>SUM(I88:I92)</f>
        <v>10</v>
      </c>
      <c r="J87" s="574">
        <f>SUM(J88:J92)</f>
        <v>75</v>
      </c>
      <c r="K87" s="705">
        <f>SUM(K88:K92)</f>
        <v>50</v>
      </c>
      <c r="L87" s="574">
        <f>SUM(L88:L92)</f>
        <v>120</v>
      </c>
      <c r="M87" s="575">
        <f t="shared" si="43"/>
        <v>255</v>
      </c>
      <c r="N87" s="574">
        <f>SUM(N88:N92)</f>
        <v>255</v>
      </c>
      <c r="O87" s="574">
        <f>SUM(O88:O92)</f>
        <v>255</v>
      </c>
      <c r="P87" s="689">
        <f>SUM(P88:P92)</f>
        <v>255</v>
      </c>
      <c r="Q87" s="521">
        <f t="shared" si="39"/>
        <v>1155</v>
      </c>
    </row>
    <row r="88" spans="1:17" s="193" customFormat="1" ht="12.75" customHeight="1">
      <c r="A88" s="539"/>
      <c r="B88" s="576" t="s">
        <v>372</v>
      </c>
      <c r="C88" s="529"/>
      <c r="D88" s="577"/>
      <c r="E88" s="578">
        <v>20</v>
      </c>
      <c r="F88" s="578"/>
      <c r="G88" s="579">
        <v>20</v>
      </c>
      <c r="H88" s="553">
        <f t="shared" si="42"/>
        <v>40</v>
      </c>
      <c r="I88" s="577"/>
      <c r="J88" s="578">
        <v>20</v>
      </c>
      <c r="K88" s="706">
        <v>0</v>
      </c>
      <c r="L88" s="579">
        <v>20</v>
      </c>
      <c r="M88" s="553">
        <f t="shared" si="43"/>
        <v>40</v>
      </c>
      <c r="N88" s="580">
        <v>40</v>
      </c>
      <c r="O88" s="580">
        <v>40</v>
      </c>
      <c r="P88" s="580">
        <v>40</v>
      </c>
      <c r="Q88" s="521">
        <f t="shared" si="39"/>
        <v>200</v>
      </c>
    </row>
    <row r="89" spans="1:17" s="193" customFormat="1" ht="12.75" customHeight="1">
      <c r="A89" s="539"/>
      <c r="B89" s="576" t="s">
        <v>373</v>
      </c>
      <c r="C89" s="529"/>
      <c r="D89" s="577">
        <v>10</v>
      </c>
      <c r="E89" s="578"/>
      <c r="F89" s="578"/>
      <c r="G89" s="579"/>
      <c r="H89" s="553">
        <f t="shared" si="42"/>
        <v>10</v>
      </c>
      <c r="I89" s="577">
        <v>10</v>
      </c>
      <c r="J89" s="578"/>
      <c r="K89" s="706">
        <v>0</v>
      </c>
      <c r="L89" s="579"/>
      <c r="M89" s="553">
        <f t="shared" si="43"/>
        <v>10</v>
      </c>
      <c r="N89" s="580">
        <v>10</v>
      </c>
      <c r="O89" s="580">
        <v>10</v>
      </c>
      <c r="P89" s="580">
        <v>10</v>
      </c>
      <c r="Q89" s="521">
        <f t="shared" si="39"/>
        <v>50</v>
      </c>
    </row>
    <row r="90" spans="1:17" s="193" customFormat="1" ht="12.75" customHeight="1">
      <c r="A90" s="539"/>
      <c r="B90" s="576" t="s">
        <v>374</v>
      </c>
      <c r="C90" s="529"/>
      <c r="D90" s="577"/>
      <c r="E90" s="578">
        <v>35</v>
      </c>
      <c r="F90" s="578"/>
      <c r="G90" s="579"/>
      <c r="H90" s="553">
        <f t="shared" si="42"/>
        <v>35</v>
      </c>
      <c r="I90" s="577"/>
      <c r="J90" s="578">
        <v>5</v>
      </c>
      <c r="K90" s="706">
        <v>0</v>
      </c>
      <c r="L90" s="579"/>
      <c r="M90" s="553">
        <f t="shared" si="43"/>
        <v>5</v>
      </c>
      <c r="N90" s="580">
        <v>5</v>
      </c>
      <c r="O90" s="580">
        <v>5</v>
      </c>
      <c r="P90" s="580">
        <v>5</v>
      </c>
      <c r="Q90" s="521">
        <f t="shared" si="39"/>
        <v>55</v>
      </c>
    </row>
    <row r="91" spans="1:17" s="193" customFormat="1" ht="12.75" customHeight="1">
      <c r="A91" s="539"/>
      <c r="B91" s="581" t="s">
        <v>375</v>
      </c>
      <c r="C91" s="529"/>
      <c r="D91" s="577"/>
      <c r="E91" s="578"/>
      <c r="F91" s="578">
        <v>50</v>
      </c>
      <c r="G91" s="579"/>
      <c r="H91" s="553">
        <f t="shared" si="42"/>
        <v>50</v>
      </c>
      <c r="I91" s="577"/>
      <c r="J91" s="578">
        <v>50</v>
      </c>
      <c r="K91" s="706">
        <v>50</v>
      </c>
      <c r="L91" s="579">
        <v>100</v>
      </c>
      <c r="M91" s="553">
        <f t="shared" si="43"/>
        <v>200</v>
      </c>
      <c r="N91" s="580">
        <v>200</v>
      </c>
      <c r="O91" s="580">
        <v>200</v>
      </c>
      <c r="P91" s="580">
        <v>200</v>
      </c>
      <c r="Q91" s="521">
        <f t="shared" si="39"/>
        <v>850</v>
      </c>
    </row>
    <row r="92" spans="1:17" s="193" customFormat="1" ht="12.75" customHeight="1">
      <c r="A92" s="539"/>
      <c r="B92" s="581" t="s">
        <v>376</v>
      </c>
      <c r="C92" s="529"/>
      <c r="D92" s="577"/>
      <c r="E92" s="578"/>
      <c r="F92" s="578"/>
      <c r="G92" s="579"/>
      <c r="H92" s="553">
        <f t="shared" si="42"/>
        <v>0</v>
      </c>
      <c r="I92" s="577"/>
      <c r="J92" s="578"/>
      <c r="K92" s="706"/>
      <c r="L92" s="579"/>
      <c r="M92" s="553">
        <f t="shared" si="43"/>
        <v>0</v>
      </c>
      <c r="N92" s="580"/>
      <c r="O92" s="580"/>
      <c r="P92" s="580"/>
      <c r="Q92" s="521">
        <f t="shared" si="39"/>
        <v>0</v>
      </c>
    </row>
    <row r="93" spans="1:17" ht="18" customHeight="1">
      <c r="A93" s="582"/>
      <c r="B93" s="583" t="s">
        <v>377</v>
      </c>
      <c r="C93" s="524"/>
      <c r="D93" s="525">
        <f>SUM(D94:D97)</f>
        <v>0</v>
      </c>
      <c r="E93" s="525">
        <f>SUM(E94:E97)</f>
        <v>50</v>
      </c>
      <c r="F93" s="525">
        <f>SUM(F94:F97)</f>
        <v>140</v>
      </c>
      <c r="G93" s="525">
        <f>SUM(G94:G97)</f>
        <v>0</v>
      </c>
      <c r="H93" s="575">
        <f t="shared" si="42"/>
        <v>190</v>
      </c>
      <c r="I93" s="525">
        <f>SUM(I94:I97)</f>
        <v>0</v>
      </c>
      <c r="J93" s="525">
        <f>SUM(J94:J97)</f>
        <v>50</v>
      </c>
      <c r="K93" s="707">
        <f>SUM(K94:K97)</f>
        <v>80</v>
      </c>
      <c r="L93" s="525">
        <f>SUM(L94:L97)</f>
        <v>0</v>
      </c>
      <c r="M93" s="575">
        <f t="shared" si="43"/>
        <v>130</v>
      </c>
      <c r="N93" s="525">
        <f>SUM(N94:N97)</f>
        <v>130</v>
      </c>
      <c r="O93" s="525">
        <f>SUM(O94:O97)</f>
        <v>125</v>
      </c>
      <c r="P93" s="524">
        <f>SUM(P94:P97)</f>
        <v>120</v>
      </c>
      <c r="Q93" s="521">
        <f t="shared" si="39"/>
        <v>695</v>
      </c>
    </row>
    <row r="94" spans="1:17" s="193" customFormat="1" ht="12.75" customHeight="1">
      <c r="A94" s="539"/>
      <c r="B94" s="584" t="s">
        <v>378</v>
      </c>
      <c r="C94" s="585"/>
      <c r="D94" s="586">
        <v>0</v>
      </c>
      <c r="E94" s="562">
        <v>0</v>
      </c>
      <c r="F94" s="562">
        <v>80</v>
      </c>
      <c r="G94" s="584">
        <v>0</v>
      </c>
      <c r="H94" s="553">
        <f t="shared" si="42"/>
        <v>80</v>
      </c>
      <c r="I94" s="586"/>
      <c r="J94" s="562">
        <v>50</v>
      </c>
      <c r="K94" s="708">
        <v>40</v>
      </c>
      <c r="L94" s="584">
        <v>0</v>
      </c>
      <c r="M94" s="553">
        <f t="shared" si="43"/>
        <v>90</v>
      </c>
      <c r="N94" s="585">
        <v>90</v>
      </c>
      <c r="O94" s="585">
        <v>90</v>
      </c>
      <c r="P94" s="585">
        <v>90</v>
      </c>
      <c r="Q94" s="521">
        <f t="shared" si="39"/>
        <v>440</v>
      </c>
    </row>
    <row r="95" spans="1:17" s="193" customFormat="1" ht="12.75" customHeight="1">
      <c r="A95" s="539"/>
      <c r="B95" s="587" t="s">
        <v>379</v>
      </c>
      <c r="C95" s="529"/>
      <c r="D95" s="588"/>
      <c r="E95" s="589"/>
      <c r="F95" s="589">
        <v>10</v>
      </c>
      <c r="G95" s="590"/>
      <c r="H95" s="553">
        <f t="shared" si="42"/>
        <v>10</v>
      </c>
      <c r="I95" s="591"/>
      <c r="J95" s="537"/>
      <c r="K95" s="709">
        <v>0</v>
      </c>
      <c r="L95" s="592"/>
      <c r="M95" s="553">
        <f t="shared" si="43"/>
        <v>0</v>
      </c>
      <c r="N95" s="593">
        <v>10</v>
      </c>
      <c r="O95" s="593">
        <v>5</v>
      </c>
      <c r="P95" s="580"/>
      <c r="Q95" s="521">
        <f t="shared" si="39"/>
        <v>25</v>
      </c>
    </row>
    <row r="96" spans="1:17" s="193" customFormat="1" ht="12.75" customHeight="1">
      <c r="A96" s="539"/>
      <c r="B96" s="594" t="s">
        <v>380</v>
      </c>
      <c r="C96" s="529"/>
      <c r="D96" s="588"/>
      <c r="E96" s="589"/>
      <c r="F96" s="589">
        <v>30</v>
      </c>
      <c r="G96" s="590"/>
      <c r="H96" s="553">
        <f t="shared" si="42"/>
        <v>30</v>
      </c>
      <c r="I96" s="586"/>
      <c r="J96" s="562"/>
      <c r="K96" s="708"/>
      <c r="L96" s="584"/>
      <c r="M96" s="553">
        <f t="shared" si="43"/>
        <v>0</v>
      </c>
      <c r="N96" s="580"/>
      <c r="O96" s="580"/>
      <c r="P96" s="580"/>
      <c r="Q96" s="521">
        <f t="shared" si="39"/>
        <v>30</v>
      </c>
    </row>
    <row r="97" spans="1:17" s="193" customFormat="1" ht="12.75" customHeight="1">
      <c r="A97" s="539"/>
      <c r="B97" s="592" t="s">
        <v>381</v>
      </c>
      <c r="C97" s="595"/>
      <c r="D97" s="596"/>
      <c r="E97" s="597">
        <v>50</v>
      </c>
      <c r="F97" s="597">
        <v>20</v>
      </c>
      <c r="G97" s="598"/>
      <c r="H97" s="553">
        <f t="shared" si="42"/>
        <v>70</v>
      </c>
      <c r="I97" s="586"/>
      <c r="J97" s="562"/>
      <c r="K97" s="708">
        <v>40</v>
      </c>
      <c r="L97" s="584"/>
      <c r="M97" s="553">
        <f t="shared" si="43"/>
        <v>40</v>
      </c>
      <c r="N97" s="585">
        <v>30</v>
      </c>
      <c r="O97" s="580">
        <v>30</v>
      </c>
      <c r="P97" s="580">
        <v>30</v>
      </c>
      <c r="Q97" s="521">
        <f t="shared" si="39"/>
        <v>200</v>
      </c>
    </row>
  </sheetData>
  <sheetProtection/>
  <mergeCells count="8">
    <mergeCell ref="O4:O5"/>
    <mergeCell ref="P4:P5"/>
    <mergeCell ref="A1:N1"/>
    <mergeCell ref="A2:N2"/>
    <mergeCell ref="C4:C5"/>
    <mergeCell ref="D4:H4"/>
    <mergeCell ref="I4:M4"/>
    <mergeCell ref="N4:N5"/>
  </mergeCells>
  <printOptions/>
  <pageMargins left="0.8267716535433072" right="0.15748031496062992" top="0.7874015748031497" bottom="0.1968503937007874" header="0.1968503937007874" footer="0.15748031496062992"/>
  <pageSetup fitToHeight="2" horizontalDpi="600" verticalDpi="600" orientation="landscape" paperSize="9" scale="70" r:id="rId3"/>
  <headerFooter alignWithMargins="0">
    <oddFooter>&amp;C1.&amp;P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3" sqref="H23"/>
    </sheetView>
  </sheetViews>
  <sheetFormatPr defaultColWidth="9.140625" defaultRowHeight="12.75" customHeight="1"/>
  <cols>
    <col min="1" max="1" width="11.57421875" style="674" customWidth="1"/>
    <col min="2" max="2" width="40.140625" style="599" customWidth="1"/>
    <col min="3" max="3" width="8.28125" style="599" customWidth="1"/>
    <col min="4" max="7" width="8.7109375" style="671" customWidth="1"/>
    <col min="8" max="8" width="10.8515625" style="599" customWidth="1"/>
    <col min="9" max="12" width="8.7109375" style="671" customWidth="1"/>
    <col min="13" max="13" width="10.8515625" style="599" customWidth="1"/>
    <col min="14" max="14" width="9.140625" style="599" customWidth="1"/>
    <col min="15" max="15" width="11.7109375" style="599" customWidth="1"/>
    <col min="16" max="16" width="9.140625" style="599" customWidth="1"/>
    <col min="17" max="17" width="10.140625" style="599" customWidth="1"/>
    <col min="18" max="16384" width="9.140625" style="599" customWidth="1"/>
  </cols>
  <sheetData>
    <row r="1" spans="1:14" ht="12.75" customHeight="1">
      <c r="A1" s="1034" t="s">
        <v>41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</row>
    <row r="2" spans="1:14" ht="12.75" customHeight="1">
      <c r="A2" s="1034" t="s">
        <v>0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</row>
    <row r="3" spans="1:13" ht="12.75" customHeight="1" thickBot="1">
      <c r="A3" s="600"/>
      <c r="B3" s="601"/>
      <c r="C3" s="601"/>
      <c r="D3" s="602"/>
      <c r="E3" s="602"/>
      <c r="F3" s="602"/>
      <c r="G3" s="602"/>
      <c r="H3" s="601"/>
      <c r="I3" s="602"/>
      <c r="J3" s="602"/>
      <c r="K3" s="602"/>
      <c r="L3" s="602"/>
      <c r="M3" s="601"/>
    </row>
    <row r="4" spans="1:16" ht="18.75" customHeight="1" thickBot="1">
      <c r="A4" s="603" t="s">
        <v>1</v>
      </c>
      <c r="B4" s="604" t="s">
        <v>2</v>
      </c>
      <c r="C4" s="1035" t="s">
        <v>42</v>
      </c>
      <c r="D4" s="1006">
        <v>2012</v>
      </c>
      <c r="E4" s="1037"/>
      <c r="F4" s="1037"/>
      <c r="G4" s="1037"/>
      <c r="H4" s="1038"/>
      <c r="I4" s="1006">
        <v>2013</v>
      </c>
      <c r="J4" s="1037"/>
      <c r="K4" s="1037"/>
      <c r="L4" s="1037"/>
      <c r="M4" s="1038"/>
      <c r="N4" s="1032">
        <v>2014</v>
      </c>
      <c r="O4" s="1032">
        <v>2015</v>
      </c>
      <c r="P4" s="1032">
        <v>2016</v>
      </c>
    </row>
    <row r="5" spans="1:16" ht="32.25" customHeight="1" thickBot="1">
      <c r="A5" s="605" t="s">
        <v>5</v>
      </c>
      <c r="B5" s="606" t="s">
        <v>6</v>
      </c>
      <c r="C5" s="1036"/>
      <c r="D5" s="607" t="s">
        <v>8</v>
      </c>
      <c r="E5" s="608" t="s">
        <v>9</v>
      </c>
      <c r="F5" s="608" t="s">
        <v>10</v>
      </c>
      <c r="G5" s="609" t="s">
        <v>11</v>
      </c>
      <c r="H5" s="610" t="s">
        <v>12</v>
      </c>
      <c r="I5" s="607" t="s">
        <v>8</v>
      </c>
      <c r="J5" s="608" t="s">
        <v>9</v>
      </c>
      <c r="K5" s="608" t="s">
        <v>10</v>
      </c>
      <c r="L5" s="609" t="s">
        <v>11</v>
      </c>
      <c r="M5" s="610" t="s">
        <v>12</v>
      </c>
      <c r="N5" s="1033"/>
      <c r="O5" s="1033"/>
      <c r="P5" s="1033"/>
    </row>
    <row r="6" spans="1:16" ht="12.75" customHeight="1" hidden="1">
      <c r="A6" s="611" t="s">
        <v>13</v>
      </c>
      <c r="B6" s="612" t="s">
        <v>14</v>
      </c>
      <c r="C6" s="613"/>
      <c r="D6" s="614">
        <f aca="true" t="shared" si="0" ref="D6:P6">SUM(D7:D11)</f>
        <v>0</v>
      </c>
      <c r="E6" s="615">
        <f t="shared" si="0"/>
        <v>0</v>
      </c>
      <c r="F6" s="615">
        <f t="shared" si="0"/>
        <v>0</v>
      </c>
      <c r="G6" s="615">
        <f t="shared" si="0"/>
        <v>0</v>
      </c>
      <c r="H6" s="616">
        <f t="shared" si="0"/>
        <v>0</v>
      </c>
      <c r="I6" s="614">
        <f t="shared" si="0"/>
        <v>0</v>
      </c>
      <c r="J6" s="615">
        <f t="shared" si="0"/>
        <v>0</v>
      </c>
      <c r="K6" s="615">
        <f t="shared" si="0"/>
        <v>0</v>
      </c>
      <c r="L6" s="617">
        <f t="shared" si="0"/>
        <v>0</v>
      </c>
      <c r="M6" s="616">
        <f t="shared" si="0"/>
        <v>0</v>
      </c>
      <c r="N6" s="618">
        <f t="shared" si="0"/>
        <v>0</v>
      </c>
      <c r="O6" s="618">
        <f t="shared" si="0"/>
        <v>0</v>
      </c>
      <c r="P6" s="618">
        <f t="shared" si="0"/>
        <v>0</v>
      </c>
    </row>
    <row r="7" spans="1:16" s="601" customFormat="1" ht="12.75" customHeight="1" hidden="1">
      <c r="A7" s="619" t="s">
        <v>15</v>
      </c>
      <c r="B7" s="620" t="s">
        <v>16</v>
      </c>
      <c r="C7" s="621"/>
      <c r="D7" s="622"/>
      <c r="E7" s="623"/>
      <c r="F7" s="623"/>
      <c r="G7" s="624"/>
      <c r="H7" s="625">
        <f>SUM(D7:G7)</f>
        <v>0</v>
      </c>
      <c r="I7" s="622"/>
      <c r="J7" s="623"/>
      <c r="K7" s="623"/>
      <c r="L7" s="624"/>
      <c r="M7" s="625">
        <f>SUM(I7:L7)</f>
        <v>0</v>
      </c>
      <c r="N7" s="626"/>
      <c r="O7" s="626"/>
      <c r="P7" s="626"/>
    </row>
    <row r="8" spans="1:16" s="601" customFormat="1" ht="12.75" customHeight="1" hidden="1">
      <c r="A8" s="619" t="s">
        <v>17</v>
      </c>
      <c r="B8" s="620" t="s">
        <v>18</v>
      </c>
      <c r="C8" s="621"/>
      <c r="D8" s="622"/>
      <c r="E8" s="623"/>
      <c r="F8" s="623"/>
      <c r="G8" s="624"/>
      <c r="H8" s="625">
        <f>SUM(D8:G8)</f>
        <v>0</v>
      </c>
      <c r="I8" s="622">
        <f>H13</f>
        <v>0</v>
      </c>
      <c r="J8" s="623"/>
      <c r="K8" s="623"/>
      <c r="L8" s="624"/>
      <c r="M8" s="625">
        <f>SUM(I8:L8)</f>
        <v>0</v>
      </c>
      <c r="N8" s="626"/>
      <c r="O8" s="626"/>
      <c r="P8" s="626"/>
    </row>
    <row r="9" spans="1:16" s="601" customFormat="1" ht="12.75" customHeight="1" hidden="1">
      <c r="A9" s="619" t="s">
        <v>19</v>
      </c>
      <c r="B9" s="627" t="s">
        <v>20</v>
      </c>
      <c r="C9" s="621"/>
      <c r="D9" s="622"/>
      <c r="E9" s="623"/>
      <c r="F9" s="623"/>
      <c r="G9" s="624"/>
      <c r="H9" s="625">
        <f>SUM(D9:G9)</f>
        <v>0</v>
      </c>
      <c r="I9" s="622"/>
      <c r="J9" s="623"/>
      <c r="K9" s="623"/>
      <c r="L9" s="624"/>
      <c r="M9" s="625">
        <f>SUM(I9:L9)</f>
        <v>0</v>
      </c>
      <c r="N9" s="626"/>
      <c r="O9" s="626"/>
      <c r="P9" s="626"/>
    </row>
    <row r="10" spans="1:16" s="601" customFormat="1" ht="12.75" customHeight="1" hidden="1">
      <c r="A10" s="619" t="s">
        <v>21</v>
      </c>
      <c r="B10" s="627" t="s">
        <v>22</v>
      </c>
      <c r="C10" s="621"/>
      <c r="D10" s="622"/>
      <c r="E10" s="623"/>
      <c r="F10" s="623"/>
      <c r="G10" s="624"/>
      <c r="H10" s="625">
        <f>SUM(D10:G10)</f>
        <v>0</v>
      </c>
      <c r="I10" s="622"/>
      <c r="J10" s="623"/>
      <c r="K10" s="623"/>
      <c r="L10" s="624"/>
      <c r="M10" s="625">
        <f>SUM(I10:L10)</f>
        <v>0</v>
      </c>
      <c r="N10" s="626"/>
      <c r="O10" s="626"/>
      <c r="P10" s="626"/>
    </row>
    <row r="11" spans="1:16" s="601" customFormat="1" ht="12.75" customHeight="1" hidden="1" thickBot="1">
      <c r="A11" s="619" t="s">
        <v>23</v>
      </c>
      <c r="B11" s="627" t="s">
        <v>24</v>
      </c>
      <c r="C11" s="621"/>
      <c r="D11" s="628"/>
      <c r="E11" s="629"/>
      <c r="F11" s="629"/>
      <c r="G11" s="630"/>
      <c r="H11" s="625">
        <f>SUM(D11:G11)</f>
        <v>0</v>
      </c>
      <c r="I11" s="628"/>
      <c r="J11" s="629"/>
      <c r="K11" s="629"/>
      <c r="L11" s="630"/>
      <c r="M11" s="625">
        <f>SUM(I11:L11)</f>
        <v>0</v>
      </c>
      <c r="N11" s="626"/>
      <c r="O11" s="626"/>
      <c r="P11" s="626"/>
    </row>
    <row r="12" spans="1:16" ht="12.75" customHeight="1" hidden="1" thickTop="1">
      <c r="A12" s="631" t="s">
        <v>25</v>
      </c>
      <c r="B12" s="632" t="s">
        <v>26</v>
      </c>
      <c r="C12" s="633"/>
      <c r="D12" s="634">
        <f>IF(D6-D14&lt;0,D6-D14,0)</f>
        <v>-175</v>
      </c>
      <c r="E12" s="635">
        <f>IF(E6+D13+D12-E14&lt;0,E6+D13+D12-E14,0)</f>
        <v>-358</v>
      </c>
      <c r="F12" s="635">
        <f>IF(F6+E13+E12-F14&lt;0,F6+E13+E12-F14,0)</f>
        <v>-532</v>
      </c>
      <c r="G12" s="635">
        <f>IF(G6+F13+F12-G14&lt;0,G6+F13+F12-G14,0)</f>
        <v>-694</v>
      </c>
      <c r="H12" s="636">
        <f>G12</f>
        <v>-694</v>
      </c>
      <c r="I12" s="634">
        <f>IF(I6-I14&lt;0,I6-I14,0)</f>
        <v>-282</v>
      </c>
      <c r="J12" s="635">
        <f>IF(J6+I13+I12-J14&lt;0,J6+I13+I12-J14,0)</f>
        <v>-584</v>
      </c>
      <c r="K12" s="635">
        <f>IF(K6+J13+J12-K14&lt;0,K6+J13+J12-K14,0)</f>
        <v>-870</v>
      </c>
      <c r="L12" s="637">
        <f>IF(L6+K13+K12-L14&lt;0,L6+K13+K12-L14,0)</f>
        <v>-1157</v>
      </c>
      <c r="M12" s="638">
        <f>L12</f>
        <v>-1157</v>
      </c>
      <c r="N12" s="638" t="s">
        <v>27</v>
      </c>
      <c r="O12" s="638">
        <f>IF(O6-O14&lt;0,O6-O14,0)</f>
        <v>-1172</v>
      </c>
      <c r="P12" s="638">
        <f>IF(P6-P14&lt;0,P6-P14,0)</f>
        <v>-1172</v>
      </c>
    </row>
    <row r="13" spans="1:16" ht="12.75" customHeight="1" hidden="1" thickBot="1">
      <c r="A13" s="639" t="s">
        <v>28</v>
      </c>
      <c r="B13" s="640" t="s">
        <v>29</v>
      </c>
      <c r="C13" s="641"/>
      <c r="D13" s="642">
        <f>IF(D6-D14&gt;0,D6-D14,0)</f>
        <v>0</v>
      </c>
      <c r="E13" s="643">
        <f>IF(E6-E14+D12+D13&gt;0,E6-E14+D12+D13,0)</f>
        <v>0</v>
      </c>
      <c r="F13" s="643">
        <f>IF(F6-F14+E12+E13&gt;0,F6-F14+E12+E13,0)</f>
        <v>0</v>
      </c>
      <c r="G13" s="644">
        <f>IF(G6-G14+F12+F13&gt;0,G6-G14+F12+F13,0)</f>
        <v>0</v>
      </c>
      <c r="H13" s="645">
        <f>G13</f>
        <v>0</v>
      </c>
      <c r="I13" s="642">
        <f>IF(I6-I14&gt;0,I6-I14,0)</f>
        <v>0</v>
      </c>
      <c r="J13" s="643">
        <f>IF(J6-J14+I12+I13&gt;0,J6-J14+I12+I13,0)</f>
        <v>0</v>
      </c>
      <c r="K13" s="643">
        <f>IF(K6-K14+J12+J13&gt;0,K6-K14+J12+J13,0)</f>
        <v>0</v>
      </c>
      <c r="L13" s="644">
        <f>IF(L6-L14+K12+K13&gt;0,L6-L14+K12+K13,0)</f>
        <v>0</v>
      </c>
      <c r="M13" s="646">
        <f>L13</f>
        <v>0</v>
      </c>
      <c r="N13" s="646">
        <f>IF(N6-N14&gt;0,N6-N14,0)</f>
        <v>0</v>
      </c>
      <c r="O13" s="646">
        <f>IF(O6-O14&gt;0,O6-O14,0)</f>
        <v>0</v>
      </c>
      <c r="P13" s="646">
        <f>IF(P6-P14&gt;0,P6-P14,0)</f>
        <v>0</v>
      </c>
    </row>
    <row r="14" spans="1:16" ht="16.5" customHeight="1">
      <c r="A14" s="647" t="s">
        <v>30</v>
      </c>
      <c r="B14" s="648" t="s">
        <v>31</v>
      </c>
      <c r="C14" s="650">
        <f>C15+C16+C23+C29</f>
        <v>0</v>
      </c>
      <c r="D14" s="651">
        <f aca="true" t="shared" si="1" ref="D14:P14">D15+D16+D23+D29</f>
        <v>175</v>
      </c>
      <c r="E14" s="649">
        <f t="shared" si="1"/>
        <v>183</v>
      </c>
      <c r="F14" s="649">
        <f t="shared" si="1"/>
        <v>174</v>
      </c>
      <c r="G14" s="652">
        <f t="shared" si="1"/>
        <v>162</v>
      </c>
      <c r="H14" s="653">
        <f>SUM(D14:G14)</f>
        <v>694</v>
      </c>
      <c r="I14" s="651">
        <f t="shared" si="1"/>
        <v>282</v>
      </c>
      <c r="J14" s="649">
        <f t="shared" si="1"/>
        <v>302</v>
      </c>
      <c r="K14" s="649">
        <f t="shared" si="1"/>
        <v>286</v>
      </c>
      <c r="L14" s="652">
        <f t="shared" si="1"/>
        <v>287</v>
      </c>
      <c r="M14" s="653">
        <f>SUM(I14:L14)</f>
        <v>1157</v>
      </c>
      <c r="N14" s="653">
        <f t="shared" si="1"/>
        <v>1172</v>
      </c>
      <c r="O14" s="653">
        <f t="shared" si="1"/>
        <v>1172</v>
      </c>
      <c r="P14" s="653">
        <f t="shared" si="1"/>
        <v>1172</v>
      </c>
    </row>
    <row r="15" spans="1:16" ht="16.5" customHeight="1">
      <c r="A15" s="654" t="s">
        <v>32</v>
      </c>
      <c r="B15" s="655" t="s">
        <v>33</v>
      </c>
      <c r="C15" s="658"/>
      <c r="D15" s="659"/>
      <c r="E15" s="656"/>
      <c r="F15" s="656"/>
      <c r="G15" s="657"/>
      <c r="H15" s="660">
        <f>SUM(D15:G15)</f>
        <v>0</v>
      </c>
      <c r="I15" s="659"/>
      <c r="J15" s="656"/>
      <c r="K15" s="656"/>
      <c r="L15" s="657"/>
      <c r="M15" s="660">
        <f aca="true" t="shared" si="2" ref="M15:M35">SUM(I15:L15)</f>
        <v>0</v>
      </c>
      <c r="N15" s="660"/>
      <c r="O15" s="660"/>
      <c r="P15" s="660"/>
    </row>
    <row r="16" spans="1:16" ht="16.5" customHeight="1">
      <c r="A16" s="654" t="s">
        <v>34</v>
      </c>
      <c r="B16" s="655" t="s">
        <v>43</v>
      </c>
      <c r="C16" s="658"/>
      <c r="D16" s="659"/>
      <c r="E16" s="656"/>
      <c r="F16" s="656"/>
      <c r="G16" s="657"/>
      <c r="H16" s="661">
        <f aca="true" t="shared" si="3" ref="H16:H35">SUM(D16:G16)</f>
        <v>0</v>
      </c>
      <c r="I16" s="659"/>
      <c r="J16" s="656"/>
      <c r="K16" s="656"/>
      <c r="L16" s="657"/>
      <c r="M16" s="661">
        <f t="shared" si="2"/>
        <v>0</v>
      </c>
      <c r="N16" s="660"/>
      <c r="O16" s="660"/>
      <c r="P16" s="660"/>
    </row>
    <row r="17" spans="1:16" ht="16.5" customHeight="1">
      <c r="A17" s="662" t="s">
        <v>35</v>
      </c>
      <c r="B17" s="663"/>
      <c r="C17" s="665"/>
      <c r="D17" s="666"/>
      <c r="E17" s="664"/>
      <c r="F17" s="664"/>
      <c r="G17" s="667"/>
      <c r="H17" s="668">
        <f t="shared" si="3"/>
        <v>0</v>
      </c>
      <c r="I17" s="666"/>
      <c r="J17" s="664"/>
      <c r="K17" s="664"/>
      <c r="L17" s="667"/>
      <c r="M17" s="668">
        <f t="shared" si="2"/>
        <v>0</v>
      </c>
      <c r="N17" s="669"/>
      <c r="O17" s="669"/>
      <c r="P17" s="669"/>
    </row>
    <row r="18" spans="1:16" ht="16.5" customHeight="1">
      <c r="A18" s="662" t="s">
        <v>36</v>
      </c>
      <c r="B18" s="663"/>
      <c r="C18" s="665"/>
      <c r="D18" s="666"/>
      <c r="E18" s="664"/>
      <c r="F18" s="664"/>
      <c r="G18" s="667"/>
      <c r="H18" s="668">
        <f t="shared" si="3"/>
        <v>0</v>
      </c>
      <c r="I18" s="666"/>
      <c r="J18" s="664"/>
      <c r="K18" s="664"/>
      <c r="L18" s="667"/>
      <c r="M18" s="668">
        <f t="shared" si="2"/>
        <v>0</v>
      </c>
      <c r="N18" s="669"/>
      <c r="O18" s="669"/>
      <c r="P18" s="669"/>
    </row>
    <row r="19" spans="1:16" ht="16.5" customHeight="1">
      <c r="A19" s="662" t="s">
        <v>37</v>
      </c>
      <c r="B19" s="663"/>
      <c r="C19" s="665"/>
      <c r="D19" s="666"/>
      <c r="E19" s="664"/>
      <c r="F19" s="664"/>
      <c r="G19" s="667"/>
      <c r="H19" s="668">
        <f t="shared" si="3"/>
        <v>0</v>
      </c>
      <c r="I19" s="666"/>
      <c r="J19" s="664"/>
      <c r="K19" s="664"/>
      <c r="L19" s="667"/>
      <c r="M19" s="668">
        <f t="shared" si="2"/>
        <v>0</v>
      </c>
      <c r="N19" s="669"/>
      <c r="O19" s="669"/>
      <c r="P19" s="669"/>
    </row>
    <row r="20" spans="1:16" ht="16.5" customHeight="1">
      <c r="A20" s="662" t="s">
        <v>38</v>
      </c>
      <c r="B20" s="663"/>
      <c r="C20" s="665"/>
      <c r="D20" s="666"/>
      <c r="E20" s="664"/>
      <c r="F20" s="664"/>
      <c r="G20" s="667"/>
      <c r="H20" s="668">
        <f t="shared" si="3"/>
        <v>0</v>
      </c>
      <c r="I20" s="666"/>
      <c r="J20" s="664"/>
      <c r="K20" s="664"/>
      <c r="L20" s="667"/>
      <c r="M20" s="668">
        <f t="shared" si="2"/>
        <v>0</v>
      </c>
      <c r="N20" s="669"/>
      <c r="O20" s="669"/>
      <c r="P20" s="669"/>
    </row>
    <row r="21" spans="1:16" ht="16.5" customHeight="1">
      <c r="A21" s="662" t="s">
        <v>39</v>
      </c>
      <c r="B21" s="663"/>
      <c r="C21" s="665"/>
      <c r="D21" s="666"/>
      <c r="E21" s="664"/>
      <c r="F21" s="664"/>
      <c r="G21" s="667"/>
      <c r="H21" s="668">
        <f t="shared" si="3"/>
        <v>0</v>
      </c>
      <c r="I21" s="666"/>
      <c r="J21" s="664"/>
      <c r="K21" s="664"/>
      <c r="L21" s="667"/>
      <c r="M21" s="668">
        <f t="shared" si="2"/>
        <v>0</v>
      </c>
      <c r="N21" s="669"/>
      <c r="O21" s="669"/>
      <c r="P21" s="669"/>
    </row>
    <row r="22" spans="1:16" ht="16.5" customHeight="1">
      <c r="A22" s="662" t="s">
        <v>40</v>
      </c>
      <c r="B22" s="663"/>
      <c r="C22" s="665"/>
      <c r="D22" s="666"/>
      <c r="E22" s="664"/>
      <c r="F22" s="664"/>
      <c r="G22" s="667"/>
      <c r="H22" s="668">
        <f t="shared" si="3"/>
        <v>0</v>
      </c>
      <c r="I22" s="666"/>
      <c r="J22" s="664"/>
      <c r="K22" s="664"/>
      <c r="L22" s="667"/>
      <c r="M22" s="668">
        <f t="shared" si="2"/>
        <v>0</v>
      </c>
      <c r="N22" s="669"/>
      <c r="O22" s="669"/>
      <c r="P22" s="669"/>
    </row>
    <row r="23" spans="1:17" s="671" customFormat="1" ht="16.5" customHeight="1">
      <c r="A23" s="710" t="s">
        <v>45</v>
      </c>
      <c r="B23" s="711" t="s">
        <v>46</v>
      </c>
      <c r="C23" s="713">
        <f>SUM(C24:C27)</f>
        <v>0</v>
      </c>
      <c r="D23" s="714">
        <f>SUM(D24:D27)</f>
        <v>175</v>
      </c>
      <c r="E23" s="712">
        <f>SUM(E24:E27)</f>
        <v>183</v>
      </c>
      <c r="F23" s="712">
        <f>SUM(F24:F27)</f>
        <v>174</v>
      </c>
      <c r="G23" s="715">
        <f>SUM(G24:G27)</f>
        <v>162</v>
      </c>
      <c r="H23" s="716">
        <f aca="true" t="shared" si="4" ref="H23:P23">SUM(H24:H27)</f>
        <v>694</v>
      </c>
      <c r="I23" s="714">
        <f t="shared" si="4"/>
        <v>282</v>
      </c>
      <c r="J23" s="712">
        <f t="shared" si="4"/>
        <v>302</v>
      </c>
      <c r="K23" s="712">
        <f t="shared" si="4"/>
        <v>286</v>
      </c>
      <c r="L23" s="715">
        <f t="shared" si="4"/>
        <v>287</v>
      </c>
      <c r="M23" s="716">
        <f t="shared" si="4"/>
        <v>1157</v>
      </c>
      <c r="N23" s="717">
        <f t="shared" si="4"/>
        <v>1172</v>
      </c>
      <c r="O23" s="717">
        <f t="shared" si="4"/>
        <v>1172</v>
      </c>
      <c r="P23" s="717">
        <f t="shared" si="4"/>
        <v>1172</v>
      </c>
      <c r="Q23" s="720">
        <f>H23+M23+N23+O23+P23</f>
        <v>5367</v>
      </c>
    </row>
    <row r="24" spans="1:16" s="671" customFormat="1" ht="18" customHeight="1">
      <c r="A24" s="718" t="s">
        <v>47</v>
      </c>
      <c r="B24" s="711" t="s">
        <v>427</v>
      </c>
      <c r="C24" s="713">
        <f>C30</f>
        <v>0</v>
      </c>
      <c r="D24" s="714">
        <f>D30</f>
        <v>35</v>
      </c>
      <c r="E24" s="712">
        <f aca="true" t="shared" si="5" ref="E24:P24">E30</f>
        <v>35</v>
      </c>
      <c r="F24" s="712">
        <f t="shared" si="5"/>
        <v>35</v>
      </c>
      <c r="G24" s="715">
        <f t="shared" si="5"/>
        <v>35</v>
      </c>
      <c r="H24" s="716">
        <f>SUM(D24:G24)</f>
        <v>140</v>
      </c>
      <c r="I24" s="714">
        <f t="shared" si="5"/>
        <v>30</v>
      </c>
      <c r="J24" s="712">
        <f t="shared" si="5"/>
        <v>35</v>
      </c>
      <c r="K24" s="712">
        <f t="shared" si="5"/>
        <v>30</v>
      </c>
      <c r="L24" s="715">
        <f t="shared" si="5"/>
        <v>35</v>
      </c>
      <c r="M24" s="716">
        <f t="shared" si="5"/>
        <v>130</v>
      </c>
      <c r="N24" s="717">
        <f t="shared" si="5"/>
        <v>130</v>
      </c>
      <c r="O24" s="717">
        <f t="shared" si="5"/>
        <v>130</v>
      </c>
      <c r="P24" s="717">
        <f t="shared" si="5"/>
        <v>130</v>
      </c>
    </row>
    <row r="25" spans="1:16" s="671" customFormat="1" ht="18" customHeight="1">
      <c r="A25" s="718" t="s">
        <v>50</v>
      </c>
      <c r="B25" s="711" t="s">
        <v>428</v>
      </c>
      <c r="C25" s="713"/>
      <c r="D25" s="772">
        <v>125</v>
      </c>
      <c r="E25" s="772">
        <v>125</v>
      </c>
      <c r="F25" s="772">
        <v>125</v>
      </c>
      <c r="G25" s="772">
        <v>125</v>
      </c>
      <c r="H25" s="716">
        <f>SUM(D25:G25)</f>
        <v>500</v>
      </c>
      <c r="I25" s="714">
        <v>250</v>
      </c>
      <c r="J25" s="712">
        <v>250</v>
      </c>
      <c r="K25" s="712">
        <v>250</v>
      </c>
      <c r="L25" s="715">
        <v>250</v>
      </c>
      <c r="M25" s="716">
        <f t="shared" si="2"/>
        <v>1000</v>
      </c>
      <c r="N25" s="717">
        <v>1000</v>
      </c>
      <c r="O25" s="717">
        <v>1000</v>
      </c>
      <c r="P25" s="717">
        <v>1000</v>
      </c>
    </row>
    <row r="26" spans="1:16" s="671" customFormat="1" ht="36" customHeight="1">
      <c r="A26" s="718" t="s">
        <v>51</v>
      </c>
      <c r="B26" s="719" t="s">
        <v>384</v>
      </c>
      <c r="C26" s="713">
        <f>C32</f>
        <v>0</v>
      </c>
      <c r="D26" s="714">
        <f aca="true" t="shared" si="6" ref="D26:P26">D32</f>
        <v>0</v>
      </c>
      <c r="E26" s="712">
        <f t="shared" si="6"/>
        <v>8</v>
      </c>
      <c r="F26" s="712">
        <f t="shared" si="6"/>
        <v>8</v>
      </c>
      <c r="G26" s="715">
        <f t="shared" si="6"/>
        <v>0</v>
      </c>
      <c r="H26" s="716">
        <f>SUM(D26:G26)</f>
        <v>16</v>
      </c>
      <c r="I26" s="714">
        <f t="shared" si="6"/>
        <v>0</v>
      </c>
      <c r="J26" s="712">
        <f t="shared" si="6"/>
        <v>15</v>
      </c>
      <c r="K26" s="712">
        <f t="shared" si="6"/>
        <v>0</v>
      </c>
      <c r="L26" s="715">
        <f t="shared" si="6"/>
        <v>0</v>
      </c>
      <c r="M26" s="716">
        <f t="shared" si="6"/>
        <v>15</v>
      </c>
      <c r="N26" s="717">
        <f t="shared" si="6"/>
        <v>30</v>
      </c>
      <c r="O26" s="717">
        <f t="shared" si="6"/>
        <v>30</v>
      </c>
      <c r="P26" s="717">
        <f t="shared" si="6"/>
        <v>30</v>
      </c>
    </row>
    <row r="27" spans="1:16" s="671" customFormat="1" ht="18" customHeight="1">
      <c r="A27" s="718" t="s">
        <v>52</v>
      </c>
      <c r="B27" s="711" t="s">
        <v>429</v>
      </c>
      <c r="C27" s="713">
        <f>C31+C33+C34+C35</f>
        <v>0</v>
      </c>
      <c r="D27" s="714">
        <f>D31+D33+D34+D35</f>
        <v>15</v>
      </c>
      <c r="E27" s="712">
        <f>E31+E33+E34+E35</f>
        <v>15</v>
      </c>
      <c r="F27" s="712">
        <f>F31+F33+F34+F35</f>
        <v>6</v>
      </c>
      <c r="G27" s="715">
        <f>G31+G33+G34+G35</f>
        <v>2</v>
      </c>
      <c r="H27" s="716">
        <f>SUM(D27:G27)</f>
        <v>38</v>
      </c>
      <c r="I27" s="714">
        <f aca="true" t="shared" si="7" ref="I27:P27">I31+I33+I34+I35</f>
        <v>2</v>
      </c>
      <c r="J27" s="712">
        <f t="shared" si="7"/>
        <v>2</v>
      </c>
      <c r="K27" s="712">
        <f t="shared" si="7"/>
        <v>6</v>
      </c>
      <c r="L27" s="715">
        <f t="shared" si="7"/>
        <v>2</v>
      </c>
      <c r="M27" s="716">
        <f t="shared" si="7"/>
        <v>12</v>
      </c>
      <c r="N27" s="717">
        <f t="shared" si="7"/>
        <v>12</v>
      </c>
      <c r="O27" s="717">
        <f t="shared" si="7"/>
        <v>12</v>
      </c>
      <c r="P27" s="717">
        <f t="shared" si="7"/>
        <v>12</v>
      </c>
    </row>
    <row r="28" spans="1:16" s="671" customFormat="1" ht="18" customHeight="1">
      <c r="A28" s="718" t="s">
        <v>53</v>
      </c>
      <c r="B28" s="711"/>
      <c r="C28" s="713"/>
      <c r="D28" s="714"/>
      <c r="E28" s="712"/>
      <c r="F28" s="712"/>
      <c r="G28" s="715"/>
      <c r="H28" s="716">
        <f t="shared" si="3"/>
        <v>0</v>
      </c>
      <c r="I28" s="714"/>
      <c r="J28" s="712"/>
      <c r="K28" s="712"/>
      <c r="L28" s="715"/>
      <c r="M28" s="716">
        <f t="shared" si="2"/>
        <v>0</v>
      </c>
      <c r="N28" s="717"/>
      <c r="O28" s="717"/>
      <c r="P28" s="717"/>
    </row>
    <row r="29" spans="1:16" ht="18" customHeight="1">
      <c r="A29" s="670" t="s">
        <v>48</v>
      </c>
      <c r="B29" s="655" t="s">
        <v>46</v>
      </c>
      <c r="C29" s="658"/>
      <c r="D29" s="659"/>
      <c r="E29" s="656"/>
      <c r="F29" s="656"/>
      <c r="G29" s="657"/>
      <c r="H29" s="661">
        <f t="shared" si="3"/>
        <v>0</v>
      </c>
      <c r="I29" s="659"/>
      <c r="J29" s="656"/>
      <c r="K29" s="656"/>
      <c r="L29" s="657"/>
      <c r="M29" s="661">
        <f t="shared" si="2"/>
        <v>0</v>
      </c>
      <c r="N29" s="660"/>
      <c r="O29" s="660"/>
      <c r="P29" s="660"/>
    </row>
    <row r="30" spans="1:16" s="671" customFormat="1" ht="24">
      <c r="A30" s="672" t="s">
        <v>49</v>
      </c>
      <c r="B30" s="673" t="s">
        <v>382</v>
      </c>
      <c r="C30" s="665"/>
      <c r="D30" s="666">
        <v>35</v>
      </c>
      <c r="E30" s="664">
        <v>35</v>
      </c>
      <c r="F30" s="664">
        <v>35</v>
      </c>
      <c r="G30" s="667">
        <v>35</v>
      </c>
      <c r="H30" s="668">
        <f t="shared" si="3"/>
        <v>140</v>
      </c>
      <c r="I30" s="666">
        <v>30</v>
      </c>
      <c r="J30" s="664">
        <v>35</v>
      </c>
      <c r="K30" s="664">
        <v>30</v>
      </c>
      <c r="L30" s="667">
        <v>35</v>
      </c>
      <c r="M30" s="668">
        <f t="shared" si="2"/>
        <v>130</v>
      </c>
      <c r="N30" s="669">
        <v>130</v>
      </c>
      <c r="O30" s="669">
        <v>130</v>
      </c>
      <c r="P30" s="669">
        <v>130</v>
      </c>
    </row>
    <row r="31" spans="1:16" s="671" customFormat="1" ht="18" customHeight="1">
      <c r="A31" s="672" t="s">
        <v>54</v>
      </c>
      <c r="B31" s="663" t="s">
        <v>383</v>
      </c>
      <c r="C31" s="665"/>
      <c r="D31" s="666"/>
      <c r="E31" s="664"/>
      <c r="F31" s="664">
        <v>4</v>
      </c>
      <c r="G31" s="667"/>
      <c r="H31" s="668">
        <f t="shared" si="3"/>
        <v>4</v>
      </c>
      <c r="I31" s="666"/>
      <c r="J31" s="664"/>
      <c r="K31" s="664">
        <v>4</v>
      </c>
      <c r="L31" s="667"/>
      <c r="M31" s="668">
        <f t="shared" si="2"/>
        <v>4</v>
      </c>
      <c r="N31" s="669">
        <v>4</v>
      </c>
      <c r="O31" s="669">
        <v>4</v>
      </c>
      <c r="P31" s="669">
        <v>4</v>
      </c>
    </row>
    <row r="32" spans="1:16" s="671" customFormat="1" ht="24">
      <c r="A32" s="672" t="s">
        <v>55</v>
      </c>
      <c r="B32" s="673" t="s">
        <v>384</v>
      </c>
      <c r="C32" s="665"/>
      <c r="D32" s="666"/>
      <c r="E32" s="664">
        <v>8</v>
      </c>
      <c r="F32" s="664">
        <v>8</v>
      </c>
      <c r="G32" s="667"/>
      <c r="H32" s="668">
        <f t="shared" si="3"/>
        <v>16</v>
      </c>
      <c r="I32" s="666"/>
      <c r="J32" s="664">
        <v>15</v>
      </c>
      <c r="K32" s="664"/>
      <c r="L32" s="667"/>
      <c r="M32" s="668">
        <f t="shared" si="2"/>
        <v>15</v>
      </c>
      <c r="N32" s="669">
        <v>30</v>
      </c>
      <c r="O32" s="669">
        <v>30</v>
      </c>
      <c r="P32" s="669">
        <v>30</v>
      </c>
    </row>
    <row r="33" spans="1:16" s="671" customFormat="1" ht="24">
      <c r="A33" s="672" t="s">
        <v>56</v>
      </c>
      <c r="B33" s="673" t="s">
        <v>385</v>
      </c>
      <c r="C33" s="665"/>
      <c r="D33" s="666">
        <v>10</v>
      </c>
      <c r="E33" s="664">
        <v>3</v>
      </c>
      <c r="F33" s="664">
        <v>2</v>
      </c>
      <c r="G33" s="667">
        <v>2</v>
      </c>
      <c r="H33" s="668">
        <f t="shared" si="3"/>
        <v>17</v>
      </c>
      <c r="I33" s="666">
        <v>2</v>
      </c>
      <c r="J33" s="664">
        <v>2</v>
      </c>
      <c r="K33" s="664">
        <v>2</v>
      </c>
      <c r="L33" s="667">
        <v>2</v>
      </c>
      <c r="M33" s="668">
        <f t="shared" si="2"/>
        <v>8</v>
      </c>
      <c r="N33" s="669">
        <v>8</v>
      </c>
      <c r="O33" s="669">
        <v>8</v>
      </c>
      <c r="P33" s="669">
        <v>8</v>
      </c>
    </row>
    <row r="34" spans="1:16" s="671" customFormat="1" ht="12">
      <c r="A34" s="672" t="s">
        <v>57</v>
      </c>
      <c r="B34" s="673" t="s">
        <v>386</v>
      </c>
      <c r="C34" s="665"/>
      <c r="D34" s="666"/>
      <c r="E34" s="664">
        <v>2</v>
      </c>
      <c r="F34" s="664"/>
      <c r="G34" s="667"/>
      <c r="H34" s="668"/>
      <c r="I34" s="666"/>
      <c r="J34" s="664"/>
      <c r="K34" s="664"/>
      <c r="L34" s="667"/>
      <c r="M34" s="668"/>
      <c r="N34" s="669"/>
      <c r="O34" s="669"/>
      <c r="P34" s="669"/>
    </row>
    <row r="35" spans="1:16" s="671" customFormat="1" ht="18" customHeight="1">
      <c r="A35" s="672" t="s">
        <v>61</v>
      </c>
      <c r="B35" s="663" t="s">
        <v>387</v>
      </c>
      <c r="C35" s="665"/>
      <c r="D35" s="666">
        <v>5</v>
      </c>
      <c r="E35" s="664">
        <v>10</v>
      </c>
      <c r="F35" s="664"/>
      <c r="G35" s="667"/>
      <c r="H35" s="668">
        <f t="shared" si="3"/>
        <v>15</v>
      </c>
      <c r="I35" s="666"/>
      <c r="J35" s="664"/>
      <c r="K35" s="664"/>
      <c r="L35" s="667"/>
      <c r="M35" s="668">
        <f t="shared" si="2"/>
        <v>0</v>
      </c>
      <c r="N35" s="669"/>
      <c r="O35" s="669"/>
      <c r="P35" s="669"/>
    </row>
    <row r="36" spans="3:13" ht="12.75" customHeight="1">
      <c r="C36" s="675"/>
      <c r="D36" s="676"/>
      <c r="E36" s="676"/>
      <c r="F36" s="676"/>
      <c r="G36" s="676"/>
      <c r="H36" s="675"/>
      <c r="I36" s="676"/>
      <c r="J36" s="676"/>
      <c r="K36" s="676"/>
      <c r="L36" s="676"/>
      <c r="M36" s="675"/>
    </row>
    <row r="37" spans="3:13" ht="12.75" customHeight="1">
      <c r="C37" s="675"/>
      <c r="D37" s="676"/>
      <c r="E37" s="676"/>
      <c r="F37" s="676"/>
      <c r="G37" s="676"/>
      <c r="H37" s="675"/>
      <c r="I37" s="676"/>
      <c r="J37" s="676"/>
      <c r="K37" s="676"/>
      <c r="L37" s="676"/>
      <c r="M37" s="675"/>
    </row>
    <row r="38" spans="3:13" ht="12.75" customHeight="1">
      <c r="C38" s="675"/>
      <c r="D38" s="676"/>
      <c r="E38" s="676"/>
      <c r="F38" s="676"/>
      <c r="G38" s="676"/>
      <c r="H38" s="675"/>
      <c r="I38" s="676"/>
      <c r="J38" s="676"/>
      <c r="K38" s="676"/>
      <c r="L38" s="676"/>
      <c r="M38" s="675"/>
    </row>
    <row r="39" spans="3:13" ht="12.75" customHeight="1">
      <c r="C39" s="675"/>
      <c r="D39" s="676"/>
      <c r="E39" s="676"/>
      <c r="F39" s="676"/>
      <c r="G39" s="676"/>
      <c r="H39" s="675"/>
      <c r="I39" s="676"/>
      <c r="J39" s="676"/>
      <c r="K39" s="676"/>
      <c r="L39" s="676"/>
      <c r="M39" s="675"/>
    </row>
    <row r="40" spans="3:13" ht="12.75" customHeight="1">
      <c r="C40" s="675"/>
      <c r="D40" s="676"/>
      <c r="E40" s="676"/>
      <c r="F40" s="676"/>
      <c r="G40" s="676"/>
      <c r="H40" s="675"/>
      <c r="I40" s="676"/>
      <c r="J40" s="676"/>
      <c r="K40" s="676"/>
      <c r="L40" s="676"/>
      <c r="M40" s="675"/>
    </row>
    <row r="41" spans="3:13" ht="12.75" customHeight="1">
      <c r="C41" s="675"/>
      <c r="D41" s="676"/>
      <c r="E41" s="676"/>
      <c r="F41" s="676"/>
      <c r="G41" s="676"/>
      <c r="H41" s="675"/>
      <c r="I41" s="676"/>
      <c r="J41" s="676"/>
      <c r="K41" s="676"/>
      <c r="L41" s="676"/>
      <c r="M41" s="675"/>
    </row>
    <row r="42" spans="3:13" ht="12.75" customHeight="1">
      <c r="C42" s="675"/>
      <c r="D42" s="676"/>
      <c r="E42" s="676"/>
      <c r="F42" s="676"/>
      <c r="G42" s="676"/>
      <c r="H42" s="675"/>
      <c r="I42" s="676"/>
      <c r="J42" s="676"/>
      <c r="K42" s="676"/>
      <c r="L42" s="676"/>
      <c r="M42" s="675"/>
    </row>
    <row r="43" spans="3:13" ht="12.75" customHeight="1">
      <c r="C43" s="675"/>
      <c r="D43" s="676"/>
      <c r="E43" s="676"/>
      <c r="F43" s="676"/>
      <c r="G43" s="676"/>
      <c r="H43" s="675"/>
      <c r="I43" s="676"/>
      <c r="J43" s="676"/>
      <c r="K43" s="676"/>
      <c r="L43" s="676"/>
      <c r="M43" s="675"/>
    </row>
    <row r="44" spans="3:13" ht="12.75" customHeight="1">
      <c r="C44" s="675"/>
      <c r="D44" s="676"/>
      <c r="E44" s="676"/>
      <c r="F44" s="676"/>
      <c r="G44" s="676"/>
      <c r="H44" s="675"/>
      <c r="I44" s="676"/>
      <c r="J44" s="676"/>
      <c r="K44" s="676"/>
      <c r="L44" s="676"/>
      <c r="M44" s="675"/>
    </row>
  </sheetData>
  <sheetProtection/>
  <mergeCells count="8">
    <mergeCell ref="O4:O5"/>
    <mergeCell ref="P4:P5"/>
    <mergeCell ref="A1:N1"/>
    <mergeCell ref="A2:N2"/>
    <mergeCell ref="C4:C5"/>
    <mergeCell ref="D4:H4"/>
    <mergeCell ref="I4:M4"/>
    <mergeCell ref="N4:N5"/>
  </mergeCells>
  <printOptions/>
  <pageMargins left="0.8267716535433072" right="0.15748031496062992" top="0.7874015748031497" bottom="0.1968503937007874" header="0.1968503937007874" footer="0.15748031496062992"/>
  <pageSetup fitToHeight="2" horizontalDpi="600" verticalDpi="600" orientation="landscape" paperSize="9" scale="70" r:id="rId3"/>
  <headerFooter alignWithMargins="0">
    <oddFooter>&amp;C1.&amp;P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140625" style="809" customWidth="1"/>
    <col min="2" max="2" width="34.7109375" style="809" bestFit="1" customWidth="1"/>
    <col min="3" max="3" width="12.7109375" style="809" bestFit="1" customWidth="1"/>
    <col min="4" max="16" width="9.140625" style="809" customWidth="1"/>
    <col min="17" max="17" width="10.421875" style="809" customWidth="1"/>
    <col min="18" max="18" width="10.28125" style="809" customWidth="1"/>
    <col min="19" max="16384" width="9.140625" style="809" customWidth="1"/>
  </cols>
  <sheetData>
    <row r="1" ht="15.75">
      <c r="B1" s="810" t="s">
        <v>594</v>
      </c>
    </row>
    <row r="2" ht="15.75" thickBot="1"/>
    <row r="3" spans="1:18" ht="15.75" thickBot="1">
      <c r="A3" s="811" t="s">
        <v>1</v>
      </c>
      <c r="B3" s="812" t="s">
        <v>587</v>
      </c>
      <c r="C3" s="1040" t="s">
        <v>42</v>
      </c>
      <c r="D3" s="1042">
        <v>2012</v>
      </c>
      <c r="E3" s="1043"/>
      <c r="F3" s="1043"/>
      <c r="G3" s="1043"/>
      <c r="H3" s="1044"/>
      <c r="I3" s="1042">
        <v>2013</v>
      </c>
      <c r="J3" s="1043"/>
      <c r="K3" s="1043"/>
      <c r="L3" s="1043"/>
      <c r="M3" s="1044"/>
      <c r="N3" s="1045">
        <v>2014</v>
      </c>
      <c r="O3" s="1045">
        <v>2015</v>
      </c>
      <c r="P3" s="1047">
        <v>2016</v>
      </c>
      <c r="Q3" s="1039" t="s">
        <v>606</v>
      </c>
      <c r="R3" s="1039" t="s">
        <v>578</v>
      </c>
    </row>
    <row r="4" spans="1:18" ht="15.75" thickBot="1">
      <c r="A4" s="813" t="s">
        <v>5</v>
      </c>
      <c r="B4" s="814" t="s">
        <v>6</v>
      </c>
      <c r="C4" s="1041"/>
      <c r="D4" s="815" t="s">
        <v>8</v>
      </c>
      <c r="E4" s="816" t="s">
        <v>9</v>
      </c>
      <c r="F4" s="816" t="s">
        <v>10</v>
      </c>
      <c r="G4" s="817" t="s">
        <v>11</v>
      </c>
      <c r="H4" s="818" t="s">
        <v>12</v>
      </c>
      <c r="I4" s="815" t="s">
        <v>8</v>
      </c>
      <c r="J4" s="816" t="s">
        <v>9</v>
      </c>
      <c r="K4" s="816" t="s">
        <v>10</v>
      </c>
      <c r="L4" s="817" t="s">
        <v>11</v>
      </c>
      <c r="M4" s="818" t="s">
        <v>12</v>
      </c>
      <c r="N4" s="1046"/>
      <c r="O4" s="1046"/>
      <c r="P4" s="1048"/>
      <c r="Q4" s="1039"/>
      <c r="R4" s="1039"/>
    </row>
    <row r="5" spans="1:18" ht="15">
      <c r="A5" s="819" t="s">
        <v>13</v>
      </c>
      <c r="B5" s="820" t="s">
        <v>14</v>
      </c>
      <c r="C5" s="821">
        <f>SUM(C6:C10)</f>
        <v>43688.899999999994</v>
      </c>
      <c r="D5" s="822">
        <f aca="true" t="shared" si="0" ref="D5:P5">SUM(D6:D10)</f>
        <v>2459.6000000000004</v>
      </c>
      <c r="E5" s="823">
        <f t="shared" si="0"/>
        <v>12038.400000000001</v>
      </c>
      <c r="F5" s="823">
        <f t="shared" si="0"/>
        <v>5335.099999999999</v>
      </c>
      <c r="G5" s="823">
        <f t="shared" si="0"/>
        <v>13216.100000000002</v>
      </c>
      <c r="H5" s="824">
        <f t="shared" si="0"/>
        <v>33049.200000000004</v>
      </c>
      <c r="I5" s="822">
        <f t="shared" si="0"/>
        <v>13572.499999999998</v>
      </c>
      <c r="J5" s="823">
        <f t="shared" si="0"/>
        <v>5922.4</v>
      </c>
      <c r="K5" s="823">
        <f t="shared" si="0"/>
        <v>2307.1000000000004</v>
      </c>
      <c r="L5" s="825">
        <f t="shared" si="0"/>
        <v>0</v>
      </c>
      <c r="M5" s="824">
        <f t="shared" si="0"/>
        <v>21801.999999999996</v>
      </c>
      <c r="N5" s="824">
        <f t="shared" si="0"/>
        <v>24.9</v>
      </c>
      <c r="O5" s="824">
        <f t="shared" si="0"/>
        <v>0</v>
      </c>
      <c r="P5" s="962">
        <f t="shared" si="0"/>
        <v>0</v>
      </c>
      <c r="Q5" s="972">
        <f>H5+M5+N5+O5+P5</f>
        <v>54876.1</v>
      </c>
      <c r="R5" s="972">
        <f>C5+H5+M5+N5+O5+P5</f>
        <v>98565</v>
      </c>
    </row>
    <row r="6" spans="1:18" ht="15">
      <c r="A6" s="826" t="s">
        <v>15</v>
      </c>
      <c r="B6" s="827" t="s">
        <v>592</v>
      </c>
      <c r="C6" s="828">
        <f>C13</f>
        <v>1178.1</v>
      </c>
      <c r="D6" s="829"/>
      <c r="E6" s="830"/>
      <c r="F6" s="830"/>
      <c r="G6" s="831"/>
      <c r="H6" s="832">
        <f>SUM(D6:G6)</f>
        <v>0</v>
      </c>
      <c r="I6" s="829"/>
      <c r="J6" s="830"/>
      <c r="K6" s="830"/>
      <c r="L6" s="831"/>
      <c r="M6" s="832">
        <f>SUM(I6:L6)</f>
        <v>0</v>
      </c>
      <c r="N6" s="832"/>
      <c r="O6" s="832"/>
      <c r="P6" s="963"/>
      <c r="Q6" s="972">
        <f aca="true" t="shared" si="1" ref="Q6:Q69">H6+M6+N6+O6+P6</f>
        <v>0</v>
      </c>
      <c r="R6" s="972">
        <f aca="true" t="shared" si="2" ref="R6:R69">C6+H6+M6+N6+O6+P6</f>
        <v>1178.1</v>
      </c>
    </row>
    <row r="7" spans="1:18" ht="15">
      <c r="A7" s="826" t="s">
        <v>17</v>
      </c>
      <c r="B7" s="827" t="s">
        <v>509</v>
      </c>
      <c r="C7" s="828">
        <f>C14</f>
        <v>34049.299999999996</v>
      </c>
      <c r="D7" s="829">
        <f aca="true" t="shared" si="3" ref="D7:P9">D14</f>
        <v>1849.6000000000001</v>
      </c>
      <c r="E7" s="830">
        <f t="shared" si="3"/>
        <v>9793.2</v>
      </c>
      <c r="F7" s="830">
        <f t="shared" si="3"/>
        <v>4444.8</v>
      </c>
      <c r="G7" s="831">
        <f t="shared" si="3"/>
        <v>10723.400000000001</v>
      </c>
      <c r="H7" s="832">
        <f t="shared" si="3"/>
        <v>26811.000000000004</v>
      </c>
      <c r="I7" s="829">
        <f t="shared" si="3"/>
        <v>11368.099999999999</v>
      </c>
      <c r="J7" s="830">
        <f t="shared" si="3"/>
        <v>4779.2</v>
      </c>
      <c r="K7" s="830">
        <f t="shared" si="3"/>
        <v>1852.8</v>
      </c>
      <c r="L7" s="831">
        <f t="shared" si="3"/>
        <v>0</v>
      </c>
      <c r="M7" s="832">
        <f t="shared" si="3"/>
        <v>18000.1</v>
      </c>
      <c r="N7" s="832">
        <f t="shared" si="3"/>
        <v>20</v>
      </c>
      <c r="O7" s="832">
        <f t="shared" si="3"/>
        <v>0</v>
      </c>
      <c r="P7" s="963">
        <f t="shared" si="3"/>
        <v>0</v>
      </c>
      <c r="Q7" s="972">
        <f t="shared" si="1"/>
        <v>44831.100000000006</v>
      </c>
      <c r="R7" s="972">
        <f t="shared" si="2"/>
        <v>78880.4</v>
      </c>
    </row>
    <row r="8" spans="1:18" ht="15">
      <c r="A8" s="826" t="s">
        <v>19</v>
      </c>
      <c r="B8" s="833" t="s">
        <v>591</v>
      </c>
      <c r="C8" s="828">
        <f>C15</f>
        <v>4006.0000000000005</v>
      </c>
      <c r="D8" s="829">
        <f t="shared" si="3"/>
        <v>217.60000000000002</v>
      </c>
      <c r="E8" s="830">
        <f t="shared" si="3"/>
        <v>1152.1</v>
      </c>
      <c r="F8" s="830">
        <f t="shared" si="3"/>
        <v>522.9</v>
      </c>
      <c r="G8" s="831">
        <f t="shared" si="3"/>
        <v>1229.9</v>
      </c>
      <c r="H8" s="832">
        <f t="shared" si="3"/>
        <v>3122.5</v>
      </c>
      <c r="I8" s="829">
        <f t="shared" si="3"/>
        <v>1337.4</v>
      </c>
      <c r="J8" s="830">
        <f t="shared" si="3"/>
        <v>530.4</v>
      </c>
      <c r="K8" s="830">
        <f t="shared" si="3"/>
        <v>218</v>
      </c>
      <c r="L8" s="831">
        <f t="shared" si="3"/>
        <v>0</v>
      </c>
      <c r="M8" s="832">
        <f t="shared" si="3"/>
        <v>2085.8</v>
      </c>
      <c r="N8" s="832">
        <f t="shared" si="3"/>
        <v>2.4</v>
      </c>
      <c r="O8" s="832">
        <f t="shared" si="3"/>
        <v>0</v>
      </c>
      <c r="P8" s="963">
        <f t="shared" si="3"/>
        <v>0</v>
      </c>
      <c r="Q8" s="972">
        <f t="shared" si="1"/>
        <v>5210.7</v>
      </c>
      <c r="R8" s="972">
        <f t="shared" si="2"/>
        <v>9216.699999999999</v>
      </c>
    </row>
    <row r="9" spans="1:18" ht="15">
      <c r="A9" s="826" t="s">
        <v>21</v>
      </c>
      <c r="B9" s="827" t="s">
        <v>510</v>
      </c>
      <c r="C9" s="828">
        <f>C16</f>
        <v>4455.5</v>
      </c>
      <c r="D9" s="829">
        <f t="shared" si="3"/>
        <v>0</v>
      </c>
      <c r="E9" s="830">
        <f t="shared" si="3"/>
        <v>0</v>
      </c>
      <c r="F9" s="830">
        <f t="shared" si="3"/>
        <v>0</v>
      </c>
      <c r="G9" s="831">
        <f t="shared" si="3"/>
        <v>0</v>
      </c>
      <c r="H9" s="832">
        <f t="shared" si="3"/>
        <v>0</v>
      </c>
      <c r="I9" s="829">
        <f t="shared" si="3"/>
        <v>0</v>
      </c>
      <c r="J9" s="830">
        <f t="shared" si="3"/>
        <v>0</v>
      </c>
      <c r="K9" s="830">
        <f t="shared" si="3"/>
        <v>0</v>
      </c>
      <c r="L9" s="831">
        <f t="shared" si="3"/>
        <v>0</v>
      </c>
      <c r="M9" s="832">
        <f t="shared" si="3"/>
        <v>0</v>
      </c>
      <c r="N9" s="832">
        <f t="shared" si="3"/>
        <v>0</v>
      </c>
      <c r="O9" s="832">
        <f t="shared" si="3"/>
        <v>0</v>
      </c>
      <c r="P9" s="963">
        <f t="shared" si="3"/>
        <v>0</v>
      </c>
      <c r="Q9" s="972">
        <f t="shared" si="1"/>
        <v>0</v>
      </c>
      <c r="R9" s="972">
        <f t="shared" si="2"/>
        <v>4455.5</v>
      </c>
    </row>
    <row r="10" spans="1:18" ht="15.75" thickBot="1">
      <c r="A10" s="826" t="s">
        <v>23</v>
      </c>
      <c r="B10" s="834" t="s">
        <v>511</v>
      </c>
      <c r="C10" s="835"/>
      <c r="D10" s="836">
        <f>D13</f>
        <v>392.40000000000003</v>
      </c>
      <c r="E10" s="837">
        <f aca="true" t="shared" si="4" ref="E10:P10">E13</f>
        <v>1093.1000000000001</v>
      </c>
      <c r="F10" s="837">
        <f t="shared" si="4"/>
        <v>367.4</v>
      </c>
      <c r="G10" s="838">
        <f t="shared" si="4"/>
        <v>1262.8000000000002</v>
      </c>
      <c r="H10" s="839">
        <f t="shared" si="4"/>
        <v>3115.7000000000003</v>
      </c>
      <c r="I10" s="836">
        <f t="shared" si="4"/>
        <v>867</v>
      </c>
      <c r="J10" s="837">
        <f t="shared" si="4"/>
        <v>612.8</v>
      </c>
      <c r="K10" s="837">
        <f t="shared" si="4"/>
        <v>236.3</v>
      </c>
      <c r="L10" s="838">
        <f t="shared" si="4"/>
        <v>0</v>
      </c>
      <c r="M10" s="839">
        <f t="shared" si="4"/>
        <v>1716.1</v>
      </c>
      <c r="N10" s="839">
        <f t="shared" si="4"/>
        <v>2.5</v>
      </c>
      <c r="O10" s="839">
        <f t="shared" si="4"/>
        <v>0</v>
      </c>
      <c r="P10" s="964">
        <f t="shared" si="4"/>
        <v>0</v>
      </c>
      <c r="Q10" s="972">
        <f t="shared" si="1"/>
        <v>4834.3</v>
      </c>
      <c r="R10" s="972">
        <f t="shared" si="2"/>
        <v>4834.3</v>
      </c>
    </row>
    <row r="11" spans="1:18" ht="15.75" thickBot="1">
      <c r="A11" s="840" t="s">
        <v>25</v>
      </c>
      <c r="B11" s="820" t="s">
        <v>31</v>
      </c>
      <c r="C11" s="841">
        <f>C17-C12</f>
        <v>0</v>
      </c>
      <c r="D11" s="842"/>
      <c r="E11" s="843"/>
      <c r="F11" s="843"/>
      <c r="G11" s="844"/>
      <c r="H11" s="845"/>
      <c r="I11" s="842"/>
      <c r="J11" s="843"/>
      <c r="K11" s="843"/>
      <c r="L11" s="844"/>
      <c r="M11" s="845"/>
      <c r="N11" s="845"/>
      <c r="O11" s="845"/>
      <c r="P11" s="965"/>
      <c r="Q11" s="972">
        <f t="shared" si="1"/>
        <v>0</v>
      </c>
      <c r="R11" s="972">
        <f t="shared" si="2"/>
        <v>0</v>
      </c>
    </row>
    <row r="12" spans="1:18" ht="15">
      <c r="A12" s="819" t="s">
        <v>512</v>
      </c>
      <c r="B12" s="820" t="s">
        <v>513</v>
      </c>
      <c r="C12" s="821">
        <f aca="true" t="shared" si="5" ref="C12:P12">SUM(C13:C16)</f>
        <v>43688.899999999994</v>
      </c>
      <c r="D12" s="822">
        <f t="shared" si="5"/>
        <v>2459.6</v>
      </c>
      <c r="E12" s="823">
        <f t="shared" si="5"/>
        <v>12038.400000000001</v>
      </c>
      <c r="F12" s="823">
        <f t="shared" si="5"/>
        <v>5335.099999999999</v>
      </c>
      <c r="G12" s="823">
        <f t="shared" si="5"/>
        <v>13216.1</v>
      </c>
      <c r="H12" s="824">
        <f t="shared" si="5"/>
        <v>33049.200000000004</v>
      </c>
      <c r="I12" s="822">
        <f t="shared" si="5"/>
        <v>13572.499999999998</v>
      </c>
      <c r="J12" s="823">
        <f t="shared" si="5"/>
        <v>5922.4</v>
      </c>
      <c r="K12" s="823">
        <f t="shared" si="5"/>
        <v>2307.1</v>
      </c>
      <c r="L12" s="825">
        <f t="shared" si="5"/>
        <v>0</v>
      </c>
      <c r="M12" s="824">
        <f t="shared" si="5"/>
        <v>21801.999999999996</v>
      </c>
      <c r="N12" s="824">
        <f t="shared" si="5"/>
        <v>24.9</v>
      </c>
      <c r="O12" s="824">
        <f t="shared" si="5"/>
        <v>0</v>
      </c>
      <c r="P12" s="962">
        <f t="shared" si="5"/>
        <v>0</v>
      </c>
      <c r="Q12" s="972">
        <f t="shared" si="1"/>
        <v>54876.1</v>
      </c>
      <c r="R12" s="972">
        <f t="shared" si="2"/>
        <v>98565</v>
      </c>
    </row>
    <row r="13" spans="1:18" ht="15">
      <c r="A13" s="826" t="s">
        <v>514</v>
      </c>
      <c r="B13" s="827" t="s">
        <v>592</v>
      </c>
      <c r="C13" s="828">
        <f>C23+C25+C30+C32+C37+C39+C44+C46+C51+C53+C58+C60+C65+C67+C72+C74+C80+C85+C90+C95+C100+C105</f>
        <v>1178.1</v>
      </c>
      <c r="D13" s="829">
        <f>D23+D25+D30+D32+D37+D39+D44+D46+D51+D53+D58+D60+D65+D67+D72+D74+D80+D85+D90+D95+D100+D105</f>
        <v>392.40000000000003</v>
      </c>
      <c r="E13" s="830">
        <f>E23+E25+E30+E32+E37+E39+E44+E46+E51+E53+E58+E60+E65+E67+E72+E74+E80+E85+E90+E95+E100+E105</f>
        <v>1093.1000000000001</v>
      </c>
      <c r="F13" s="830">
        <f>F23+F25+F30+F32+F37+F39+F44+F46+F51+F53+F58+F60+F65+F67+F72+F74+F80+F85+F90+F95+F100+F105</f>
        <v>367.4</v>
      </c>
      <c r="G13" s="831">
        <f>G23+G25+G30+G32+G37+G39+G44+G46+G51+G53+G58+G60+G65+G67+G72+G74+G80+G85+G90+G95+G100+G105</f>
        <v>1262.8000000000002</v>
      </c>
      <c r="H13" s="832">
        <f>SUM(D13:G13)</f>
        <v>3115.7000000000003</v>
      </c>
      <c r="I13" s="829">
        <f>I23+I25+I30+I32+I37+I39+I44+I46+I51+I53+I58+I60+I65+I67+I72+I74+I80+I85+I90+I95+I100+I105</f>
        <v>867</v>
      </c>
      <c r="J13" s="830">
        <f>J23+J25+J30+J32+J37+J39+J44+J46+J51+J53+J58+J60+J65+J67+J72+J74+J80+J85+J90+J95+J100+J105</f>
        <v>612.8</v>
      </c>
      <c r="K13" s="830">
        <f>K23+K25+K30+K32+K37+K39+K44+K46+K51+K53+K58+K60+K65+K67+K72+K74+K80+K85+K90+K95+K100+K105</f>
        <v>236.3</v>
      </c>
      <c r="L13" s="831">
        <f>L23+L25+L30+L32+L37+L39+L44+L46+L51+L53+L58+L60+L65+L67+L72+L74+L80+L85+L90+L95+L100+L105</f>
        <v>0</v>
      </c>
      <c r="M13" s="832">
        <f>SUM(I13:L13)</f>
        <v>1716.1</v>
      </c>
      <c r="N13" s="832">
        <f>N23+N25+N30+N32+N37+N39+N44+N46+N51+N53+N58+N60+N65+N67+N72+N74+N80+N85+N90+N95+N100+N105</f>
        <v>2.5</v>
      </c>
      <c r="O13" s="832">
        <f>O23+O25+O30+O32+O37+O39+O44+O46+O51+O53+O58+O60+O65+O67+O72+O74+O80+O85+O90+O95+O100+O105</f>
        <v>0</v>
      </c>
      <c r="P13" s="963">
        <f>P23+P25+P30+P32+P37+P39+P44+P46+P51+P53+P58+P60+P65+P67+P72+P74+P80+P85+P90+P95+P100+P105</f>
        <v>0</v>
      </c>
      <c r="Q13" s="972">
        <f t="shared" si="1"/>
        <v>4834.3</v>
      </c>
      <c r="R13" s="972">
        <f t="shared" si="2"/>
        <v>6012.4</v>
      </c>
    </row>
    <row r="14" spans="1:18" ht="15">
      <c r="A14" s="826" t="s">
        <v>515</v>
      </c>
      <c r="B14" s="827" t="s">
        <v>509</v>
      </c>
      <c r="C14" s="828">
        <f>C20+C27+C41+C48+C55+C62+C69+C77+C82+C87+C92+C97+C34+C102</f>
        <v>34049.299999999996</v>
      </c>
      <c r="D14" s="829">
        <f aca="true" t="shared" si="6" ref="D14:P14">D20+D27+D41+D48+D55+D62+D69+D77+D82+D87+D92+D97+D34+D102</f>
        <v>1849.6000000000001</v>
      </c>
      <c r="E14" s="830">
        <f t="shared" si="6"/>
        <v>9793.2</v>
      </c>
      <c r="F14" s="830">
        <f t="shared" si="6"/>
        <v>4444.8</v>
      </c>
      <c r="G14" s="831">
        <f>G20+G27+G41+G48+G55+G62+G69+G77+G82+G87+G92+G97+G34+G102</f>
        <v>10723.400000000001</v>
      </c>
      <c r="H14" s="832">
        <f>SUM(D14:G14)</f>
        <v>26811.000000000004</v>
      </c>
      <c r="I14" s="829">
        <f t="shared" si="6"/>
        <v>11368.099999999999</v>
      </c>
      <c r="J14" s="830">
        <f t="shared" si="6"/>
        <v>4779.2</v>
      </c>
      <c r="K14" s="830">
        <f t="shared" si="6"/>
        <v>1852.8</v>
      </c>
      <c r="L14" s="831">
        <f t="shared" si="6"/>
        <v>0</v>
      </c>
      <c r="M14" s="832">
        <f>SUM(I14:L14)</f>
        <v>18000.1</v>
      </c>
      <c r="N14" s="832">
        <f t="shared" si="6"/>
        <v>20</v>
      </c>
      <c r="O14" s="832">
        <f t="shared" si="6"/>
        <v>0</v>
      </c>
      <c r="P14" s="963">
        <f t="shared" si="6"/>
        <v>0</v>
      </c>
      <c r="Q14" s="972">
        <f t="shared" si="1"/>
        <v>44831.100000000006</v>
      </c>
      <c r="R14" s="972">
        <f t="shared" si="2"/>
        <v>78880.4</v>
      </c>
    </row>
    <row r="15" spans="1:18" ht="15">
      <c r="A15" s="826" t="s">
        <v>516</v>
      </c>
      <c r="B15" s="833" t="s">
        <v>591</v>
      </c>
      <c r="C15" s="828">
        <f>C22+C29+C36+C43+C50+C57+C71+C79+C84+C89+C94+C99+C64+C104</f>
        <v>4006.0000000000005</v>
      </c>
      <c r="D15" s="829">
        <f>D22+D29+D36+D43+D50+D57+D71+D79+D84+D89+D94+D99+D64+D104</f>
        <v>217.60000000000002</v>
      </c>
      <c r="E15" s="830">
        <f>E22+E29+E36+E43+E50+E57+E71+E79+E84+E89+E94+E99+E64+E104</f>
        <v>1152.1</v>
      </c>
      <c r="F15" s="830">
        <f>F22+F29+F36+F43+F50+F57+F71+F79+F84+F89+F94+F99+F64+F104</f>
        <v>522.9</v>
      </c>
      <c r="G15" s="831">
        <f>G22+G29+G36+G43+G50+G57+G71+G79+G84+G89+G94+G99+G64+G104</f>
        <v>1229.9</v>
      </c>
      <c r="H15" s="832">
        <f>SUM(D15:G15)</f>
        <v>3122.5</v>
      </c>
      <c r="I15" s="829">
        <f>I22+I29+I36+I43+I50+I57+I71+I79+I84+I89+I94+I99+I64+I104</f>
        <v>1337.4</v>
      </c>
      <c r="J15" s="830">
        <f>J22+J29+J36+J43+J50+J57+J71+J79+J84+J89+J94+J99+J64+J104</f>
        <v>530.4</v>
      </c>
      <c r="K15" s="830">
        <f>K22+K29+K36+K43+K50+K57+K71+K79+K84+K89+K94+K99+K64+K104</f>
        <v>218</v>
      </c>
      <c r="L15" s="831">
        <f>L22+L29+L36+L43+L50+L57+L71+L79+L84+L89+L94+L99+L64+L104</f>
        <v>0</v>
      </c>
      <c r="M15" s="832">
        <f>SUM(I15:L15)</f>
        <v>2085.8</v>
      </c>
      <c r="N15" s="832">
        <f>N22+N29+N36+N43+N50+N57+N71+N79+N84+N89+N94+N99+N64+N104</f>
        <v>2.4</v>
      </c>
      <c r="O15" s="832">
        <f>O22+O29+O36+O43+O50+O57+O71+O79+O84+O89+O94+O99+O64+O104</f>
        <v>0</v>
      </c>
      <c r="P15" s="963">
        <f>P22+P29+P36+P43+P50+P57+P71+P79+P84+P89+P94+P99+P64+P104</f>
        <v>0</v>
      </c>
      <c r="Q15" s="972">
        <f t="shared" si="1"/>
        <v>5210.7</v>
      </c>
      <c r="R15" s="972">
        <f t="shared" si="2"/>
        <v>9216.699999999999</v>
      </c>
    </row>
    <row r="16" spans="1:18" ht="15">
      <c r="A16" s="826" t="s">
        <v>517</v>
      </c>
      <c r="B16" s="827" t="s">
        <v>510</v>
      </c>
      <c r="C16" s="828">
        <f>C21+C24+C28+C31+C35+C38+C42+C45+C49+C52+C56+C59+C63+C66+C70+C73+C78+C83+C88+C93+C98+C103</f>
        <v>4455.5</v>
      </c>
      <c r="D16" s="829">
        <f>D21+D24+D28+D31+D35+D38+D42+D45+D49+D52+D56+D59+D63+D66+D70+D73+D78+D83+D88+D93+D98+D103</f>
        <v>0</v>
      </c>
      <c r="E16" s="830">
        <f>E21+E24+E28+E31+E35+E38+E42+E45+E49+E52+E56+E59+E63+E66+E70+E73+E78+E83+E88+E93+E98+E103</f>
        <v>0</v>
      </c>
      <c r="F16" s="830">
        <f>F21+F24+F28+F31+F35+F38+F42+F45+F49+F52+F56+F59+F63+F66+F70+F73+F78+F83+F88+F93+F98+F103</f>
        <v>0</v>
      </c>
      <c r="G16" s="831">
        <f>G21+G24+G28+G31+G35+G38+G42+G45+G49+G52+G56+G59+G63+G66+G70+G73+G78+G83+G88+G93+G98+G103</f>
        <v>0</v>
      </c>
      <c r="H16" s="832">
        <f>SUM(D16:G16)</f>
        <v>0</v>
      </c>
      <c r="I16" s="829">
        <f>I21+I24+I28+I31+I35+I38+I42+I45+I49+I52+I56+I59+I63+I66+I70+I73+I78+I83+I88+I93+I98+I103</f>
        <v>0</v>
      </c>
      <c r="J16" s="830">
        <f>J21+J24+J28+J31+J35+J38+J42+J45+J49+J52+J56+J59+J63+J66+J70+J73+J78+J83+J88+J93+J98+J103</f>
        <v>0</v>
      </c>
      <c r="K16" s="830">
        <f>K21+K24+K28+K31+K35+K38+K42+K45+K49+K52+K56+K59+K63+K66+K70+K73+K78+K83+K88+K93+K98+K103</f>
        <v>0</v>
      </c>
      <c r="L16" s="831">
        <f>L21+L24+L28+L31+L35+L38+L42+L45+L49+L52+L56+L59+L63+L66+L70+L73+L78+L83+L88+L93+L98+L103</f>
        <v>0</v>
      </c>
      <c r="M16" s="832">
        <f>SUM(I16:L16)</f>
        <v>0</v>
      </c>
      <c r="N16" s="832">
        <f>N21+N24+N28+N31+N35+N38+N42+N45+N49+N52+N56+N59+N63+N66+N70+N73+N78+N83+N88+N93+N98+N103</f>
        <v>0</v>
      </c>
      <c r="O16" s="832">
        <f>O21+O24+O28+O31+O35+O38+O42+O45+O49+O52+O56+O59+O63+O66+O70+O73+O78+O83+O88+O93+O98+O103</f>
        <v>0</v>
      </c>
      <c r="P16" s="963">
        <f>P21+P24+P28+P31+P35+P38+P42+P45+P49+P52+P56+P59+P63+P66+P70+P73+P78+P83+P88+P93+P98+P103</f>
        <v>0</v>
      </c>
      <c r="Q16" s="972">
        <f t="shared" si="1"/>
        <v>0</v>
      </c>
      <c r="R16" s="972">
        <f t="shared" si="2"/>
        <v>4455.5</v>
      </c>
    </row>
    <row r="17" spans="1:18" ht="15">
      <c r="A17" s="847" t="s">
        <v>518</v>
      </c>
      <c r="B17" s="848" t="s">
        <v>43</v>
      </c>
      <c r="C17" s="849">
        <f>C18+C75+C96+C101</f>
        <v>43688.899999999994</v>
      </c>
      <c r="D17" s="850">
        <f>D18+D75+D96+D101</f>
        <v>2459.6</v>
      </c>
      <c r="E17" s="851">
        <f>E18+E75+E96+E101</f>
        <v>12038.400000000001</v>
      </c>
      <c r="F17" s="851">
        <f>F18+F75+F96+F101</f>
        <v>5335.1</v>
      </c>
      <c r="G17" s="852">
        <f>G18+G75+G96+G101</f>
        <v>13216.099999999999</v>
      </c>
      <c r="H17" s="853">
        <f>SUM(D17:G17)</f>
        <v>33049.2</v>
      </c>
      <c r="I17" s="850">
        <f>I18+I75+I96+I101</f>
        <v>13572.5</v>
      </c>
      <c r="J17" s="851">
        <f>J18+J75+J96+J101</f>
        <v>5922.4</v>
      </c>
      <c r="K17" s="851">
        <f>K18+K75+K96+K101</f>
        <v>2307.1</v>
      </c>
      <c r="L17" s="852">
        <f>L18+L75+L96+L101</f>
        <v>0</v>
      </c>
      <c r="M17" s="853">
        <f>SUM(I17:L17)</f>
        <v>21802</v>
      </c>
      <c r="N17" s="853">
        <f>N18+N75+N96</f>
        <v>24.9</v>
      </c>
      <c r="O17" s="853">
        <f>O18+O75+O96</f>
        <v>0</v>
      </c>
      <c r="P17" s="966">
        <f>P18+P75+P96</f>
        <v>0</v>
      </c>
      <c r="Q17" s="972">
        <f t="shared" si="1"/>
        <v>54876.1</v>
      </c>
      <c r="R17" s="972">
        <f t="shared" si="2"/>
        <v>98564.99999999999</v>
      </c>
    </row>
    <row r="18" spans="1:18" ht="24">
      <c r="A18" s="854" t="s">
        <v>519</v>
      </c>
      <c r="B18" s="855" t="s">
        <v>520</v>
      </c>
      <c r="C18" s="856">
        <f>C19+C26+C33+C40+C47+C54+C61+C68</f>
        <v>21568.8</v>
      </c>
      <c r="D18" s="857">
        <f aca="true" t="shared" si="7" ref="D18:P18">D19+D26+D33+D40+D47+D54+D61+D68</f>
        <v>1786.4</v>
      </c>
      <c r="E18" s="858">
        <f t="shared" si="7"/>
        <v>5278.400000000001</v>
      </c>
      <c r="F18" s="858">
        <f t="shared" si="7"/>
        <v>0</v>
      </c>
      <c r="G18" s="859">
        <f t="shared" si="7"/>
        <v>4586</v>
      </c>
      <c r="H18" s="860">
        <f t="shared" si="7"/>
        <v>11650.8</v>
      </c>
      <c r="I18" s="857">
        <f t="shared" si="7"/>
        <v>0</v>
      </c>
      <c r="J18" s="858">
        <f t="shared" si="7"/>
        <v>3720.5999999999995</v>
      </c>
      <c r="K18" s="858">
        <f t="shared" si="7"/>
        <v>2307.1</v>
      </c>
      <c r="L18" s="859">
        <f t="shared" si="7"/>
        <v>0</v>
      </c>
      <c r="M18" s="860">
        <f t="shared" si="7"/>
        <v>6027.7</v>
      </c>
      <c r="N18" s="860">
        <f t="shared" si="7"/>
        <v>10.2</v>
      </c>
      <c r="O18" s="860">
        <f t="shared" si="7"/>
        <v>0</v>
      </c>
      <c r="P18" s="967">
        <f t="shared" si="7"/>
        <v>0</v>
      </c>
      <c r="Q18" s="972">
        <f t="shared" si="1"/>
        <v>17688.7</v>
      </c>
      <c r="R18" s="972">
        <f t="shared" si="2"/>
        <v>39257.49999999999</v>
      </c>
    </row>
    <row r="19" spans="1:18" ht="121.5">
      <c r="A19" s="861" t="s">
        <v>521</v>
      </c>
      <c r="B19" s="862" t="s">
        <v>593</v>
      </c>
      <c r="C19" s="863">
        <f>SUM(C20:C25)</f>
        <v>1195.6000000000001</v>
      </c>
      <c r="D19" s="864">
        <f aca="true" t="shared" si="8" ref="D19:P19">SUM(D20:D25)</f>
        <v>0</v>
      </c>
      <c r="E19" s="865">
        <f t="shared" si="8"/>
        <v>0</v>
      </c>
      <c r="F19" s="865">
        <f t="shared" si="8"/>
        <v>0</v>
      </c>
      <c r="G19" s="866">
        <f t="shared" si="8"/>
        <v>0</v>
      </c>
      <c r="H19" s="867">
        <f t="shared" si="8"/>
        <v>0</v>
      </c>
      <c r="I19" s="864">
        <f t="shared" si="8"/>
        <v>0</v>
      </c>
      <c r="J19" s="865">
        <f t="shared" si="8"/>
        <v>0</v>
      </c>
      <c r="K19" s="865">
        <f t="shared" si="8"/>
        <v>0</v>
      </c>
      <c r="L19" s="866">
        <f t="shared" si="8"/>
        <v>0</v>
      </c>
      <c r="M19" s="867">
        <f t="shared" si="8"/>
        <v>0</v>
      </c>
      <c r="N19" s="867">
        <f t="shared" si="8"/>
        <v>0</v>
      </c>
      <c r="O19" s="867">
        <f t="shared" si="8"/>
        <v>0</v>
      </c>
      <c r="P19" s="968">
        <f t="shared" si="8"/>
        <v>0</v>
      </c>
      <c r="Q19" s="972">
        <f t="shared" si="1"/>
        <v>0</v>
      </c>
      <c r="R19" s="972">
        <f t="shared" si="2"/>
        <v>1195.6000000000001</v>
      </c>
    </row>
    <row r="20" spans="1:18" ht="15">
      <c r="A20" s="868"/>
      <c r="B20" s="869" t="s">
        <v>509</v>
      </c>
      <c r="C20" s="870">
        <v>844</v>
      </c>
      <c r="D20" s="871"/>
      <c r="E20" s="872"/>
      <c r="F20" s="872"/>
      <c r="G20" s="873"/>
      <c r="H20" s="874">
        <f aca="true" t="shared" si="9" ref="H20:H74">SUM(D20:G20)</f>
        <v>0</v>
      </c>
      <c r="I20" s="871"/>
      <c r="J20" s="872"/>
      <c r="K20" s="872"/>
      <c r="L20" s="873"/>
      <c r="M20" s="874">
        <f aca="true" t="shared" si="10" ref="M20:M74">SUM(I20:L20)</f>
        <v>0</v>
      </c>
      <c r="N20" s="874"/>
      <c r="O20" s="874"/>
      <c r="P20" s="969"/>
      <c r="Q20" s="972">
        <f t="shared" si="1"/>
        <v>0</v>
      </c>
      <c r="R20" s="972">
        <f t="shared" si="2"/>
        <v>844</v>
      </c>
    </row>
    <row r="21" spans="1:18" ht="18" customHeight="1">
      <c r="A21" s="868"/>
      <c r="B21" s="875" t="s">
        <v>510</v>
      </c>
      <c r="C21" s="870">
        <v>107.6</v>
      </c>
      <c r="D21" s="871"/>
      <c r="E21" s="872"/>
      <c r="F21" s="872"/>
      <c r="G21" s="873"/>
      <c r="H21" s="874">
        <f t="shared" si="9"/>
        <v>0</v>
      </c>
      <c r="I21" s="871"/>
      <c r="J21" s="872"/>
      <c r="K21" s="872"/>
      <c r="L21" s="873"/>
      <c r="M21" s="874">
        <f t="shared" si="10"/>
        <v>0</v>
      </c>
      <c r="N21" s="874"/>
      <c r="O21" s="874"/>
      <c r="P21" s="969"/>
      <c r="Q21" s="972">
        <f t="shared" si="1"/>
        <v>0</v>
      </c>
      <c r="R21" s="972">
        <f t="shared" si="2"/>
        <v>107.6</v>
      </c>
    </row>
    <row r="22" spans="1:18" ht="15">
      <c r="A22" s="876"/>
      <c r="B22" s="877" t="s">
        <v>591</v>
      </c>
      <c r="C22" s="870">
        <v>99.3</v>
      </c>
      <c r="D22" s="878"/>
      <c r="E22" s="878"/>
      <c r="F22" s="878"/>
      <c r="G22" s="878"/>
      <c r="H22" s="874">
        <f t="shared" si="9"/>
        <v>0</v>
      </c>
      <c r="I22" s="878"/>
      <c r="J22" s="878"/>
      <c r="K22" s="878"/>
      <c r="L22" s="878"/>
      <c r="M22" s="874">
        <f t="shared" si="10"/>
        <v>0</v>
      </c>
      <c r="N22" s="879"/>
      <c r="O22" s="879"/>
      <c r="P22" s="970"/>
      <c r="Q22" s="972">
        <f t="shared" si="1"/>
        <v>0</v>
      </c>
      <c r="R22" s="972">
        <f t="shared" si="2"/>
        <v>99.3</v>
      </c>
    </row>
    <row r="23" spans="1:18" ht="15">
      <c r="A23" s="876"/>
      <c r="B23" s="877" t="s">
        <v>592</v>
      </c>
      <c r="C23" s="870"/>
      <c r="D23" s="878"/>
      <c r="E23" s="878"/>
      <c r="F23" s="878"/>
      <c r="G23" s="878"/>
      <c r="H23" s="874">
        <f t="shared" si="9"/>
        <v>0</v>
      </c>
      <c r="I23" s="878"/>
      <c r="J23" s="878"/>
      <c r="K23" s="878"/>
      <c r="L23" s="878"/>
      <c r="M23" s="874">
        <f t="shared" si="10"/>
        <v>0</v>
      </c>
      <c r="N23" s="879"/>
      <c r="O23" s="879"/>
      <c r="P23" s="970"/>
      <c r="Q23" s="972">
        <f t="shared" si="1"/>
        <v>0</v>
      </c>
      <c r="R23" s="972">
        <f t="shared" si="2"/>
        <v>0</v>
      </c>
    </row>
    <row r="24" spans="1:18" ht="15">
      <c r="A24" s="880"/>
      <c r="B24" s="877" t="s">
        <v>595</v>
      </c>
      <c r="C24" s="870">
        <v>144.7</v>
      </c>
      <c r="D24" s="881"/>
      <c r="E24" s="878"/>
      <c r="F24" s="878"/>
      <c r="G24" s="882"/>
      <c r="H24" s="874">
        <f t="shared" si="9"/>
        <v>0</v>
      </c>
      <c r="I24" s="881"/>
      <c r="J24" s="878"/>
      <c r="K24" s="878"/>
      <c r="L24" s="882"/>
      <c r="M24" s="874">
        <f t="shared" si="10"/>
        <v>0</v>
      </c>
      <c r="N24" s="879"/>
      <c r="O24" s="879"/>
      <c r="P24" s="970"/>
      <c r="Q24" s="972">
        <f t="shared" si="1"/>
        <v>0</v>
      </c>
      <c r="R24" s="972">
        <f t="shared" si="2"/>
        <v>144.7</v>
      </c>
    </row>
    <row r="25" spans="1:18" ht="24">
      <c r="A25" s="880"/>
      <c r="B25" s="877" t="s">
        <v>596</v>
      </c>
      <c r="C25" s="870"/>
      <c r="D25" s="881"/>
      <c r="E25" s="878"/>
      <c r="F25" s="878"/>
      <c r="G25" s="882"/>
      <c r="H25" s="874">
        <f t="shared" si="9"/>
        <v>0</v>
      </c>
      <c r="I25" s="881"/>
      <c r="J25" s="878"/>
      <c r="K25" s="878"/>
      <c r="L25" s="882"/>
      <c r="M25" s="874">
        <f t="shared" si="10"/>
        <v>0</v>
      </c>
      <c r="N25" s="879"/>
      <c r="O25" s="879"/>
      <c r="P25" s="970"/>
      <c r="Q25" s="972">
        <f t="shared" si="1"/>
        <v>0</v>
      </c>
      <c r="R25" s="972">
        <f t="shared" si="2"/>
        <v>0</v>
      </c>
    </row>
    <row r="26" spans="1:18" ht="40.5">
      <c r="A26" s="861" t="s">
        <v>522</v>
      </c>
      <c r="B26" s="862" t="s">
        <v>597</v>
      </c>
      <c r="C26" s="863">
        <f aca="true" t="shared" si="11" ref="C26:P26">SUM(C27:C32)</f>
        <v>1649.2</v>
      </c>
      <c r="D26" s="864">
        <f t="shared" si="11"/>
        <v>0</v>
      </c>
      <c r="E26" s="865">
        <f t="shared" si="11"/>
        <v>0</v>
      </c>
      <c r="F26" s="865">
        <f t="shared" si="11"/>
        <v>0</v>
      </c>
      <c r="G26" s="866">
        <f t="shared" si="11"/>
        <v>0</v>
      </c>
      <c r="H26" s="867">
        <f t="shared" si="11"/>
        <v>0</v>
      </c>
      <c r="I26" s="864">
        <f t="shared" si="11"/>
        <v>0</v>
      </c>
      <c r="J26" s="865">
        <f t="shared" si="11"/>
        <v>0</v>
      </c>
      <c r="K26" s="865">
        <f t="shared" si="11"/>
        <v>0</v>
      </c>
      <c r="L26" s="866">
        <f t="shared" si="11"/>
        <v>0</v>
      </c>
      <c r="M26" s="867">
        <f t="shared" si="11"/>
        <v>0</v>
      </c>
      <c r="N26" s="867">
        <f t="shared" si="11"/>
        <v>0</v>
      </c>
      <c r="O26" s="867">
        <f t="shared" si="11"/>
        <v>0</v>
      </c>
      <c r="P26" s="968">
        <f t="shared" si="11"/>
        <v>0</v>
      </c>
      <c r="Q26" s="972">
        <f t="shared" si="1"/>
        <v>0</v>
      </c>
      <c r="R26" s="972">
        <f t="shared" si="2"/>
        <v>1649.2</v>
      </c>
    </row>
    <row r="27" spans="1:18" ht="15">
      <c r="A27" s="868"/>
      <c r="B27" s="869" t="s">
        <v>509</v>
      </c>
      <c r="C27" s="870">
        <v>1146.2</v>
      </c>
      <c r="D27" s="871"/>
      <c r="E27" s="872"/>
      <c r="F27" s="872"/>
      <c r="G27" s="873"/>
      <c r="H27" s="874">
        <f t="shared" si="9"/>
        <v>0</v>
      </c>
      <c r="I27" s="871"/>
      <c r="J27" s="872"/>
      <c r="K27" s="872"/>
      <c r="L27" s="873"/>
      <c r="M27" s="874">
        <f t="shared" si="10"/>
        <v>0</v>
      </c>
      <c r="N27" s="874"/>
      <c r="O27" s="874"/>
      <c r="P27" s="969"/>
      <c r="Q27" s="972">
        <f t="shared" si="1"/>
        <v>0</v>
      </c>
      <c r="R27" s="972">
        <f t="shared" si="2"/>
        <v>1146.2</v>
      </c>
    </row>
    <row r="28" spans="1:18" ht="15">
      <c r="A28" s="868"/>
      <c r="B28" s="875" t="s">
        <v>510</v>
      </c>
      <c r="C28" s="870">
        <v>146.1</v>
      </c>
      <c r="D28" s="871"/>
      <c r="E28" s="872"/>
      <c r="F28" s="872"/>
      <c r="G28" s="873"/>
      <c r="H28" s="874">
        <f t="shared" si="9"/>
        <v>0</v>
      </c>
      <c r="I28" s="871"/>
      <c r="J28" s="872"/>
      <c r="K28" s="872"/>
      <c r="L28" s="873"/>
      <c r="M28" s="874">
        <f t="shared" si="10"/>
        <v>0</v>
      </c>
      <c r="N28" s="874"/>
      <c r="O28" s="874"/>
      <c r="P28" s="969"/>
      <c r="Q28" s="972">
        <f t="shared" si="1"/>
        <v>0</v>
      </c>
      <c r="R28" s="972">
        <f t="shared" si="2"/>
        <v>146.1</v>
      </c>
    </row>
    <row r="29" spans="1:18" ht="15">
      <c r="A29" s="876"/>
      <c r="B29" s="877" t="s">
        <v>591</v>
      </c>
      <c r="C29" s="870">
        <v>134.9</v>
      </c>
      <c r="D29" s="878"/>
      <c r="E29" s="878"/>
      <c r="F29" s="878"/>
      <c r="G29" s="878"/>
      <c r="H29" s="874">
        <f t="shared" si="9"/>
        <v>0</v>
      </c>
      <c r="I29" s="878"/>
      <c r="J29" s="878"/>
      <c r="K29" s="878"/>
      <c r="L29" s="878"/>
      <c r="M29" s="874">
        <f t="shared" si="10"/>
        <v>0</v>
      </c>
      <c r="N29" s="879"/>
      <c r="O29" s="879"/>
      <c r="P29" s="970"/>
      <c r="Q29" s="972">
        <f t="shared" si="1"/>
        <v>0</v>
      </c>
      <c r="R29" s="972">
        <f t="shared" si="2"/>
        <v>134.9</v>
      </c>
    </row>
    <row r="30" spans="1:18" ht="15">
      <c r="A30" s="876"/>
      <c r="B30" s="877" t="s">
        <v>592</v>
      </c>
      <c r="C30" s="870"/>
      <c r="D30" s="878"/>
      <c r="E30" s="878"/>
      <c r="F30" s="878"/>
      <c r="G30" s="878"/>
      <c r="H30" s="874">
        <f t="shared" si="9"/>
        <v>0</v>
      </c>
      <c r="I30" s="878"/>
      <c r="J30" s="878"/>
      <c r="K30" s="878"/>
      <c r="L30" s="878"/>
      <c r="M30" s="874">
        <f t="shared" si="10"/>
        <v>0</v>
      </c>
      <c r="N30" s="879"/>
      <c r="O30" s="879"/>
      <c r="P30" s="970"/>
      <c r="Q30" s="972">
        <f t="shared" si="1"/>
        <v>0</v>
      </c>
      <c r="R30" s="972">
        <f t="shared" si="2"/>
        <v>0</v>
      </c>
    </row>
    <row r="31" spans="1:18" ht="15">
      <c r="A31" s="880"/>
      <c r="B31" s="877" t="s">
        <v>595</v>
      </c>
      <c r="C31" s="870">
        <v>222</v>
      </c>
      <c r="D31" s="881"/>
      <c r="E31" s="878"/>
      <c r="F31" s="878"/>
      <c r="G31" s="882"/>
      <c r="H31" s="874">
        <f t="shared" si="9"/>
        <v>0</v>
      </c>
      <c r="I31" s="881"/>
      <c r="J31" s="878"/>
      <c r="K31" s="878"/>
      <c r="L31" s="882"/>
      <c r="M31" s="874">
        <f t="shared" si="10"/>
        <v>0</v>
      </c>
      <c r="N31" s="879"/>
      <c r="O31" s="879"/>
      <c r="P31" s="970"/>
      <c r="Q31" s="972">
        <f t="shared" si="1"/>
        <v>0</v>
      </c>
      <c r="R31" s="972">
        <f t="shared" si="2"/>
        <v>222</v>
      </c>
    </row>
    <row r="32" spans="1:18" ht="24">
      <c r="A32" s="880"/>
      <c r="B32" s="877" t="s">
        <v>596</v>
      </c>
      <c r="C32" s="870"/>
      <c r="D32" s="881"/>
      <c r="E32" s="878"/>
      <c r="F32" s="878"/>
      <c r="G32" s="882"/>
      <c r="H32" s="874">
        <f t="shared" si="9"/>
        <v>0</v>
      </c>
      <c r="I32" s="881"/>
      <c r="J32" s="878"/>
      <c r="K32" s="878"/>
      <c r="L32" s="882"/>
      <c r="M32" s="874">
        <f t="shared" si="10"/>
        <v>0</v>
      </c>
      <c r="N32" s="879"/>
      <c r="O32" s="879"/>
      <c r="P32" s="970"/>
      <c r="Q32" s="972">
        <f t="shared" si="1"/>
        <v>0</v>
      </c>
      <c r="R32" s="972">
        <f t="shared" si="2"/>
        <v>0</v>
      </c>
    </row>
    <row r="33" spans="1:18" ht="40.5">
      <c r="A33" s="861" t="s">
        <v>523</v>
      </c>
      <c r="B33" s="862" t="s">
        <v>524</v>
      </c>
      <c r="C33" s="863">
        <f aca="true" t="shared" si="12" ref="C33:P33">SUM(C34:C39)</f>
        <v>1641.9</v>
      </c>
      <c r="D33" s="864">
        <f t="shared" si="12"/>
        <v>0</v>
      </c>
      <c r="E33" s="865">
        <f t="shared" si="12"/>
        <v>0</v>
      </c>
      <c r="F33" s="865">
        <f t="shared" si="12"/>
        <v>0</v>
      </c>
      <c r="G33" s="866">
        <f t="shared" si="12"/>
        <v>0</v>
      </c>
      <c r="H33" s="867">
        <f t="shared" si="12"/>
        <v>0</v>
      </c>
      <c r="I33" s="864">
        <f t="shared" si="12"/>
        <v>0</v>
      </c>
      <c r="J33" s="865">
        <f t="shared" si="12"/>
        <v>0</v>
      </c>
      <c r="K33" s="865">
        <f t="shared" si="12"/>
        <v>0</v>
      </c>
      <c r="L33" s="866">
        <f t="shared" si="12"/>
        <v>0</v>
      </c>
      <c r="M33" s="867">
        <f t="shared" si="12"/>
        <v>0</v>
      </c>
      <c r="N33" s="867">
        <f t="shared" si="12"/>
        <v>0</v>
      </c>
      <c r="O33" s="867">
        <f t="shared" si="12"/>
        <v>0</v>
      </c>
      <c r="P33" s="968">
        <f t="shared" si="12"/>
        <v>0</v>
      </c>
      <c r="Q33" s="972">
        <f t="shared" si="1"/>
        <v>0</v>
      </c>
      <c r="R33" s="972">
        <f t="shared" si="2"/>
        <v>1641.9</v>
      </c>
    </row>
    <row r="34" spans="1:18" ht="15">
      <c r="A34" s="868"/>
      <c r="B34" s="869" t="s">
        <v>509</v>
      </c>
      <c r="C34" s="870">
        <v>586.7</v>
      </c>
      <c r="D34" s="871"/>
      <c r="E34" s="872"/>
      <c r="F34" s="872"/>
      <c r="G34" s="873"/>
      <c r="H34" s="874">
        <f t="shared" si="9"/>
        <v>0</v>
      </c>
      <c r="I34" s="871"/>
      <c r="J34" s="872"/>
      <c r="K34" s="872"/>
      <c r="L34" s="873"/>
      <c r="M34" s="874">
        <f t="shared" si="10"/>
        <v>0</v>
      </c>
      <c r="N34" s="874"/>
      <c r="O34" s="874"/>
      <c r="P34" s="969"/>
      <c r="Q34" s="972">
        <f t="shared" si="1"/>
        <v>0</v>
      </c>
      <c r="R34" s="972">
        <f t="shared" si="2"/>
        <v>586.7</v>
      </c>
    </row>
    <row r="35" spans="1:18" ht="15">
      <c r="A35" s="868"/>
      <c r="B35" s="875" t="s">
        <v>510</v>
      </c>
      <c r="C35" s="870">
        <v>74.8</v>
      </c>
      <c r="D35" s="871"/>
      <c r="E35" s="872"/>
      <c r="F35" s="872"/>
      <c r="G35" s="873"/>
      <c r="H35" s="874">
        <f t="shared" si="9"/>
        <v>0</v>
      </c>
      <c r="I35" s="871"/>
      <c r="J35" s="872"/>
      <c r="K35" s="872"/>
      <c r="L35" s="873"/>
      <c r="M35" s="874">
        <f t="shared" si="10"/>
        <v>0</v>
      </c>
      <c r="N35" s="874"/>
      <c r="O35" s="874"/>
      <c r="P35" s="969"/>
      <c r="Q35" s="972">
        <f t="shared" si="1"/>
        <v>0</v>
      </c>
      <c r="R35" s="972">
        <f t="shared" si="2"/>
        <v>74.8</v>
      </c>
    </row>
    <row r="36" spans="1:18" ht="15">
      <c r="A36" s="876"/>
      <c r="B36" s="877" t="s">
        <v>591</v>
      </c>
      <c r="C36" s="870">
        <v>69</v>
      </c>
      <c r="D36" s="878"/>
      <c r="E36" s="878"/>
      <c r="F36" s="878"/>
      <c r="G36" s="878"/>
      <c r="H36" s="874">
        <f t="shared" si="9"/>
        <v>0</v>
      </c>
      <c r="I36" s="878"/>
      <c r="J36" s="878"/>
      <c r="K36" s="878"/>
      <c r="L36" s="878"/>
      <c r="M36" s="874">
        <f t="shared" si="10"/>
        <v>0</v>
      </c>
      <c r="N36" s="879"/>
      <c r="O36" s="879"/>
      <c r="P36" s="970"/>
      <c r="Q36" s="972">
        <f t="shared" si="1"/>
        <v>0</v>
      </c>
      <c r="R36" s="972">
        <f t="shared" si="2"/>
        <v>69</v>
      </c>
    </row>
    <row r="37" spans="1:18" ht="15">
      <c r="A37" s="876"/>
      <c r="B37" s="877" t="s">
        <v>592</v>
      </c>
      <c r="C37" s="870"/>
      <c r="D37" s="878"/>
      <c r="E37" s="878"/>
      <c r="F37" s="878"/>
      <c r="G37" s="878"/>
      <c r="H37" s="874">
        <f t="shared" si="9"/>
        <v>0</v>
      </c>
      <c r="I37" s="878"/>
      <c r="J37" s="878"/>
      <c r="K37" s="878"/>
      <c r="L37" s="878"/>
      <c r="M37" s="874">
        <f t="shared" si="10"/>
        <v>0</v>
      </c>
      <c r="N37" s="879"/>
      <c r="O37" s="879"/>
      <c r="P37" s="970"/>
      <c r="Q37" s="972">
        <f t="shared" si="1"/>
        <v>0</v>
      </c>
      <c r="R37" s="972">
        <f t="shared" si="2"/>
        <v>0</v>
      </c>
    </row>
    <row r="38" spans="1:18" ht="15">
      <c r="A38" s="880"/>
      <c r="B38" s="877" t="s">
        <v>595</v>
      </c>
      <c r="C38" s="870">
        <v>911.4</v>
      </c>
      <c r="D38" s="881"/>
      <c r="E38" s="878"/>
      <c r="F38" s="878"/>
      <c r="G38" s="882"/>
      <c r="H38" s="874">
        <f t="shared" si="9"/>
        <v>0</v>
      </c>
      <c r="I38" s="881"/>
      <c r="J38" s="878"/>
      <c r="K38" s="878"/>
      <c r="L38" s="882"/>
      <c r="M38" s="874">
        <f t="shared" si="10"/>
        <v>0</v>
      </c>
      <c r="N38" s="879"/>
      <c r="O38" s="879"/>
      <c r="P38" s="970"/>
      <c r="Q38" s="972">
        <f t="shared" si="1"/>
        <v>0</v>
      </c>
      <c r="R38" s="972">
        <f t="shared" si="2"/>
        <v>911.4</v>
      </c>
    </row>
    <row r="39" spans="1:18" ht="24">
      <c r="A39" s="880"/>
      <c r="B39" s="877" t="s">
        <v>596</v>
      </c>
      <c r="C39" s="870"/>
      <c r="D39" s="881"/>
      <c r="E39" s="878"/>
      <c r="F39" s="878"/>
      <c r="G39" s="882"/>
      <c r="H39" s="874">
        <f t="shared" si="9"/>
        <v>0</v>
      </c>
      <c r="I39" s="881"/>
      <c r="J39" s="878"/>
      <c r="K39" s="878"/>
      <c r="L39" s="882"/>
      <c r="M39" s="874">
        <f t="shared" si="10"/>
        <v>0</v>
      </c>
      <c r="N39" s="879"/>
      <c r="O39" s="879"/>
      <c r="P39" s="970"/>
      <c r="Q39" s="972">
        <f t="shared" si="1"/>
        <v>0</v>
      </c>
      <c r="R39" s="972">
        <f t="shared" si="2"/>
        <v>0</v>
      </c>
    </row>
    <row r="40" spans="1:18" ht="81">
      <c r="A40" s="861" t="s">
        <v>525</v>
      </c>
      <c r="B40" s="862" t="s">
        <v>598</v>
      </c>
      <c r="C40" s="863">
        <f aca="true" t="shared" si="13" ref="C40:P40">SUM(C41:C46)</f>
        <v>4805.8</v>
      </c>
      <c r="D40" s="864">
        <f t="shared" si="13"/>
        <v>1176.4</v>
      </c>
      <c r="E40" s="865">
        <f t="shared" si="13"/>
        <v>40.9</v>
      </c>
      <c r="F40" s="865">
        <f t="shared" si="13"/>
        <v>0</v>
      </c>
      <c r="G40" s="866">
        <f t="shared" si="13"/>
        <v>0</v>
      </c>
      <c r="H40" s="867">
        <f t="shared" si="13"/>
        <v>1217.3</v>
      </c>
      <c r="I40" s="864">
        <f t="shared" si="13"/>
        <v>0</v>
      </c>
      <c r="J40" s="865">
        <f t="shared" si="13"/>
        <v>0</v>
      </c>
      <c r="K40" s="865">
        <f t="shared" si="13"/>
        <v>0</v>
      </c>
      <c r="L40" s="866">
        <f t="shared" si="13"/>
        <v>0</v>
      </c>
      <c r="M40" s="867">
        <f t="shared" si="13"/>
        <v>0</v>
      </c>
      <c r="N40" s="867">
        <f t="shared" si="13"/>
        <v>0</v>
      </c>
      <c r="O40" s="867">
        <f t="shared" si="13"/>
        <v>0</v>
      </c>
      <c r="P40" s="968">
        <f t="shared" si="13"/>
        <v>0</v>
      </c>
      <c r="Q40" s="972">
        <f t="shared" si="1"/>
        <v>1217.3</v>
      </c>
      <c r="R40" s="972">
        <f t="shared" si="2"/>
        <v>6023.1</v>
      </c>
    </row>
    <row r="41" spans="1:18" ht="15">
      <c r="A41" s="868"/>
      <c r="B41" s="869" t="s">
        <v>509</v>
      </c>
      <c r="C41" s="870">
        <v>3692.8</v>
      </c>
      <c r="D41" s="871">
        <v>898</v>
      </c>
      <c r="E41" s="872"/>
      <c r="F41" s="872"/>
      <c r="G41" s="873"/>
      <c r="H41" s="874">
        <f t="shared" si="9"/>
        <v>898</v>
      </c>
      <c r="I41" s="871"/>
      <c r="J41" s="872"/>
      <c r="K41" s="872"/>
      <c r="L41" s="873"/>
      <c r="M41" s="874">
        <f t="shared" si="10"/>
        <v>0</v>
      </c>
      <c r="N41" s="874"/>
      <c r="O41" s="874"/>
      <c r="P41" s="969"/>
      <c r="Q41" s="972">
        <f t="shared" si="1"/>
        <v>898</v>
      </c>
      <c r="R41" s="972">
        <f t="shared" si="2"/>
        <v>4590.8</v>
      </c>
    </row>
    <row r="42" spans="1:18" ht="15">
      <c r="A42" s="868"/>
      <c r="B42" s="875" t="s">
        <v>510</v>
      </c>
      <c r="C42" s="870">
        <v>433</v>
      </c>
      <c r="D42" s="871"/>
      <c r="E42" s="872"/>
      <c r="F42" s="872"/>
      <c r="G42" s="873"/>
      <c r="H42" s="874">
        <f t="shared" si="9"/>
        <v>0</v>
      </c>
      <c r="I42" s="871"/>
      <c r="J42" s="872"/>
      <c r="K42" s="872"/>
      <c r="L42" s="873"/>
      <c r="M42" s="874">
        <f t="shared" si="10"/>
        <v>0</v>
      </c>
      <c r="N42" s="874"/>
      <c r="O42" s="874"/>
      <c r="P42" s="969"/>
      <c r="Q42" s="972">
        <f t="shared" si="1"/>
        <v>0</v>
      </c>
      <c r="R42" s="972">
        <f t="shared" si="2"/>
        <v>433</v>
      </c>
    </row>
    <row r="43" spans="1:18" ht="15">
      <c r="A43" s="876"/>
      <c r="B43" s="877" t="s">
        <v>591</v>
      </c>
      <c r="C43" s="870">
        <v>434.5</v>
      </c>
      <c r="D43" s="878">
        <v>105.6</v>
      </c>
      <c r="E43" s="878"/>
      <c r="F43" s="878"/>
      <c r="G43" s="878"/>
      <c r="H43" s="874">
        <f t="shared" si="9"/>
        <v>105.6</v>
      </c>
      <c r="I43" s="878"/>
      <c r="J43" s="878"/>
      <c r="K43" s="878"/>
      <c r="L43" s="878"/>
      <c r="M43" s="874">
        <f t="shared" si="10"/>
        <v>0</v>
      </c>
      <c r="N43" s="879"/>
      <c r="O43" s="879"/>
      <c r="P43" s="970"/>
      <c r="Q43" s="972">
        <f t="shared" si="1"/>
        <v>105.6</v>
      </c>
      <c r="R43" s="972">
        <f t="shared" si="2"/>
        <v>540.1</v>
      </c>
    </row>
    <row r="44" spans="1:18" ht="15">
      <c r="A44" s="876"/>
      <c r="B44" s="877" t="s">
        <v>592</v>
      </c>
      <c r="C44" s="870"/>
      <c r="D44" s="878">
        <v>152.4</v>
      </c>
      <c r="E44" s="878"/>
      <c r="F44" s="878"/>
      <c r="G44" s="878"/>
      <c r="H44" s="874">
        <f t="shared" si="9"/>
        <v>152.4</v>
      </c>
      <c r="I44" s="878"/>
      <c r="J44" s="878"/>
      <c r="K44" s="878"/>
      <c r="L44" s="878"/>
      <c r="M44" s="874">
        <f t="shared" si="10"/>
        <v>0</v>
      </c>
      <c r="N44" s="879"/>
      <c r="O44" s="879"/>
      <c r="P44" s="970"/>
      <c r="Q44" s="972">
        <f t="shared" si="1"/>
        <v>152.4</v>
      </c>
      <c r="R44" s="972">
        <f t="shared" si="2"/>
        <v>152.4</v>
      </c>
    </row>
    <row r="45" spans="1:18" ht="15">
      <c r="A45" s="880"/>
      <c r="B45" s="877" t="s">
        <v>595</v>
      </c>
      <c r="C45" s="870">
        <v>245.5</v>
      </c>
      <c r="D45" s="881"/>
      <c r="E45" s="878"/>
      <c r="F45" s="878"/>
      <c r="G45" s="882"/>
      <c r="H45" s="874">
        <f t="shared" si="9"/>
        <v>0</v>
      </c>
      <c r="I45" s="881"/>
      <c r="J45" s="878"/>
      <c r="K45" s="878"/>
      <c r="L45" s="882"/>
      <c r="M45" s="874">
        <f t="shared" si="10"/>
        <v>0</v>
      </c>
      <c r="N45" s="879"/>
      <c r="O45" s="879"/>
      <c r="P45" s="970"/>
      <c r="Q45" s="972">
        <f t="shared" si="1"/>
        <v>0</v>
      </c>
      <c r="R45" s="972">
        <f t="shared" si="2"/>
        <v>245.5</v>
      </c>
    </row>
    <row r="46" spans="1:18" ht="24">
      <c r="A46" s="880"/>
      <c r="B46" s="877" t="s">
        <v>596</v>
      </c>
      <c r="C46" s="870"/>
      <c r="D46" s="881">
        <v>20.4</v>
      </c>
      <c r="E46" s="878">
        <v>40.9</v>
      </c>
      <c r="F46" s="878"/>
      <c r="G46" s="882"/>
      <c r="H46" s="874">
        <f t="shared" si="9"/>
        <v>61.3</v>
      </c>
      <c r="I46" s="881"/>
      <c r="J46" s="878"/>
      <c r="K46" s="878"/>
      <c r="L46" s="882"/>
      <c r="M46" s="874">
        <f t="shared" si="10"/>
        <v>0</v>
      </c>
      <c r="N46" s="879"/>
      <c r="O46" s="879"/>
      <c r="P46" s="970"/>
      <c r="Q46" s="972">
        <f t="shared" si="1"/>
        <v>61.3</v>
      </c>
      <c r="R46" s="972">
        <f t="shared" si="2"/>
        <v>61.3</v>
      </c>
    </row>
    <row r="47" spans="1:18" ht="81">
      <c r="A47" s="861" t="s">
        <v>526</v>
      </c>
      <c r="B47" s="862" t="s">
        <v>599</v>
      </c>
      <c r="C47" s="863">
        <f aca="true" t="shared" si="14" ref="C47:P47">SUM(C48:C53)</f>
        <v>472.7</v>
      </c>
      <c r="D47" s="864">
        <f t="shared" si="14"/>
        <v>0</v>
      </c>
      <c r="E47" s="865">
        <f t="shared" si="14"/>
        <v>0</v>
      </c>
      <c r="F47" s="865">
        <f t="shared" si="14"/>
        <v>0</v>
      </c>
      <c r="G47" s="866">
        <f t="shared" si="14"/>
        <v>0</v>
      </c>
      <c r="H47" s="867">
        <f t="shared" si="14"/>
        <v>0</v>
      </c>
      <c r="I47" s="864">
        <f t="shared" si="14"/>
        <v>0</v>
      </c>
      <c r="J47" s="865">
        <f t="shared" si="14"/>
        <v>0</v>
      </c>
      <c r="K47" s="865">
        <f t="shared" si="14"/>
        <v>0</v>
      </c>
      <c r="L47" s="866">
        <f t="shared" si="14"/>
        <v>0</v>
      </c>
      <c r="M47" s="867">
        <f t="shared" si="14"/>
        <v>0</v>
      </c>
      <c r="N47" s="867">
        <f t="shared" si="14"/>
        <v>0</v>
      </c>
      <c r="O47" s="867">
        <f t="shared" si="14"/>
        <v>0</v>
      </c>
      <c r="P47" s="968">
        <f t="shared" si="14"/>
        <v>0</v>
      </c>
      <c r="Q47" s="972">
        <f t="shared" si="1"/>
        <v>0</v>
      </c>
      <c r="R47" s="972">
        <f t="shared" si="2"/>
        <v>472.7</v>
      </c>
    </row>
    <row r="48" spans="1:18" ht="15">
      <c r="A48" s="868"/>
      <c r="B48" s="869" t="s">
        <v>509</v>
      </c>
      <c r="C48" s="870">
        <v>374.4</v>
      </c>
      <c r="D48" s="871"/>
      <c r="E48" s="872"/>
      <c r="F48" s="872"/>
      <c r="G48" s="873"/>
      <c r="H48" s="883">
        <f t="shared" si="9"/>
        <v>0</v>
      </c>
      <c r="I48" s="871"/>
      <c r="J48" s="872"/>
      <c r="K48" s="872"/>
      <c r="L48" s="873"/>
      <c r="M48" s="883">
        <f t="shared" si="10"/>
        <v>0</v>
      </c>
      <c r="N48" s="883"/>
      <c r="O48" s="883"/>
      <c r="P48" s="971"/>
      <c r="Q48" s="972">
        <f t="shared" si="1"/>
        <v>0</v>
      </c>
      <c r="R48" s="972">
        <f t="shared" si="2"/>
        <v>374.4</v>
      </c>
    </row>
    <row r="49" spans="1:18" ht="15">
      <c r="A49" s="868"/>
      <c r="B49" s="875" t="s">
        <v>510</v>
      </c>
      <c r="C49" s="870">
        <v>47.7</v>
      </c>
      <c r="D49" s="871"/>
      <c r="E49" s="872"/>
      <c r="F49" s="872"/>
      <c r="G49" s="873"/>
      <c r="H49" s="874">
        <f t="shared" si="9"/>
        <v>0</v>
      </c>
      <c r="I49" s="871"/>
      <c r="J49" s="872"/>
      <c r="K49" s="872"/>
      <c r="L49" s="873"/>
      <c r="M49" s="874">
        <f t="shared" si="10"/>
        <v>0</v>
      </c>
      <c r="N49" s="874"/>
      <c r="O49" s="874"/>
      <c r="P49" s="969"/>
      <c r="Q49" s="972">
        <f t="shared" si="1"/>
        <v>0</v>
      </c>
      <c r="R49" s="972">
        <f t="shared" si="2"/>
        <v>47.7</v>
      </c>
    </row>
    <row r="50" spans="1:18" ht="15">
      <c r="A50" s="876"/>
      <c r="B50" s="877" t="s">
        <v>591</v>
      </c>
      <c r="C50" s="870">
        <v>44.1</v>
      </c>
      <c r="D50" s="878"/>
      <c r="E50" s="878"/>
      <c r="F50" s="878"/>
      <c r="G50" s="878"/>
      <c r="H50" s="874">
        <f t="shared" si="9"/>
        <v>0</v>
      </c>
      <c r="I50" s="878"/>
      <c r="J50" s="878"/>
      <c r="K50" s="878"/>
      <c r="L50" s="878"/>
      <c r="M50" s="874">
        <f t="shared" si="10"/>
        <v>0</v>
      </c>
      <c r="N50" s="879"/>
      <c r="O50" s="879"/>
      <c r="P50" s="970"/>
      <c r="Q50" s="972">
        <f t="shared" si="1"/>
        <v>0</v>
      </c>
      <c r="R50" s="972">
        <f t="shared" si="2"/>
        <v>44.1</v>
      </c>
    </row>
    <row r="51" spans="1:18" ht="15">
      <c r="A51" s="876"/>
      <c r="B51" s="877" t="s">
        <v>592</v>
      </c>
      <c r="C51" s="870"/>
      <c r="D51" s="878"/>
      <c r="E51" s="878"/>
      <c r="F51" s="878"/>
      <c r="G51" s="878"/>
      <c r="H51" s="874">
        <f t="shared" si="9"/>
        <v>0</v>
      </c>
      <c r="I51" s="878"/>
      <c r="J51" s="878"/>
      <c r="K51" s="878"/>
      <c r="L51" s="878"/>
      <c r="M51" s="874">
        <f t="shared" si="10"/>
        <v>0</v>
      </c>
      <c r="N51" s="879"/>
      <c r="O51" s="879"/>
      <c r="P51" s="970"/>
      <c r="Q51" s="972">
        <f t="shared" si="1"/>
        <v>0</v>
      </c>
      <c r="R51" s="972">
        <f t="shared" si="2"/>
        <v>0</v>
      </c>
    </row>
    <row r="52" spans="1:18" ht="15">
      <c r="A52" s="880"/>
      <c r="B52" s="877" t="s">
        <v>595</v>
      </c>
      <c r="C52" s="870">
        <v>6.5</v>
      </c>
      <c r="D52" s="881"/>
      <c r="E52" s="878"/>
      <c r="F52" s="878"/>
      <c r="G52" s="882"/>
      <c r="H52" s="874">
        <f t="shared" si="9"/>
        <v>0</v>
      </c>
      <c r="I52" s="881"/>
      <c r="J52" s="878"/>
      <c r="K52" s="878"/>
      <c r="L52" s="882"/>
      <c r="M52" s="874">
        <f t="shared" si="10"/>
        <v>0</v>
      </c>
      <c r="N52" s="879"/>
      <c r="O52" s="879"/>
      <c r="P52" s="970"/>
      <c r="Q52" s="972">
        <f t="shared" si="1"/>
        <v>0</v>
      </c>
      <c r="R52" s="972">
        <f t="shared" si="2"/>
        <v>6.5</v>
      </c>
    </row>
    <row r="53" spans="1:18" ht="24">
      <c r="A53" s="880"/>
      <c r="B53" s="877" t="s">
        <v>596</v>
      </c>
      <c r="C53" s="870"/>
      <c r="D53" s="881"/>
      <c r="E53" s="878"/>
      <c r="F53" s="878"/>
      <c r="G53" s="882"/>
      <c r="H53" s="874">
        <f t="shared" si="9"/>
        <v>0</v>
      </c>
      <c r="I53" s="881"/>
      <c r="J53" s="878"/>
      <c r="K53" s="878"/>
      <c r="L53" s="882"/>
      <c r="M53" s="874">
        <f t="shared" si="10"/>
        <v>0</v>
      </c>
      <c r="N53" s="879"/>
      <c r="O53" s="879"/>
      <c r="P53" s="970"/>
      <c r="Q53" s="972">
        <f t="shared" si="1"/>
        <v>0</v>
      </c>
      <c r="R53" s="972">
        <f t="shared" si="2"/>
        <v>0</v>
      </c>
    </row>
    <row r="54" spans="1:18" ht="27">
      <c r="A54" s="861" t="s">
        <v>527</v>
      </c>
      <c r="B54" s="884" t="s">
        <v>528</v>
      </c>
      <c r="C54" s="863">
        <f aca="true" t="shared" si="15" ref="C54:P54">SUM(C55:C60)</f>
        <v>4074.2000000000003</v>
      </c>
      <c r="D54" s="864">
        <f t="shared" si="15"/>
        <v>610</v>
      </c>
      <c r="E54" s="865">
        <f t="shared" si="15"/>
        <v>281.3</v>
      </c>
      <c r="F54" s="865">
        <f t="shared" si="15"/>
        <v>0</v>
      </c>
      <c r="G54" s="866">
        <f t="shared" si="15"/>
        <v>0</v>
      </c>
      <c r="H54" s="867">
        <f t="shared" si="15"/>
        <v>891.3000000000001</v>
      </c>
      <c r="I54" s="864">
        <f t="shared" si="15"/>
        <v>0</v>
      </c>
      <c r="J54" s="865">
        <f t="shared" si="15"/>
        <v>0</v>
      </c>
      <c r="K54" s="865">
        <f t="shared" si="15"/>
        <v>0</v>
      </c>
      <c r="L54" s="866">
        <f t="shared" si="15"/>
        <v>0</v>
      </c>
      <c r="M54" s="867">
        <f t="shared" si="15"/>
        <v>0</v>
      </c>
      <c r="N54" s="867">
        <f t="shared" si="15"/>
        <v>0</v>
      </c>
      <c r="O54" s="867">
        <f t="shared" si="15"/>
        <v>0</v>
      </c>
      <c r="P54" s="968">
        <f t="shared" si="15"/>
        <v>0</v>
      </c>
      <c r="Q54" s="972">
        <f t="shared" si="1"/>
        <v>891.3000000000001</v>
      </c>
      <c r="R54" s="972">
        <f t="shared" si="2"/>
        <v>4965.5</v>
      </c>
    </row>
    <row r="55" spans="1:18" ht="15">
      <c r="A55" s="868"/>
      <c r="B55" s="869" t="s">
        <v>509</v>
      </c>
      <c r="C55" s="870">
        <v>2945.4</v>
      </c>
      <c r="D55" s="871">
        <v>395.7</v>
      </c>
      <c r="E55" s="872">
        <v>175.8</v>
      </c>
      <c r="F55" s="872"/>
      <c r="G55" s="873"/>
      <c r="H55" s="874">
        <f t="shared" si="9"/>
        <v>571.5</v>
      </c>
      <c r="I55" s="871"/>
      <c r="J55" s="872"/>
      <c r="K55" s="872"/>
      <c r="L55" s="873"/>
      <c r="M55" s="874">
        <f t="shared" si="10"/>
        <v>0</v>
      </c>
      <c r="N55" s="874"/>
      <c r="O55" s="874"/>
      <c r="P55" s="969"/>
      <c r="Q55" s="972">
        <f t="shared" si="1"/>
        <v>571.5</v>
      </c>
      <c r="R55" s="972">
        <f t="shared" si="2"/>
        <v>3516.9</v>
      </c>
    </row>
    <row r="56" spans="1:18" ht="15">
      <c r="A56" s="868"/>
      <c r="B56" s="875" t="s">
        <v>510</v>
      </c>
      <c r="C56" s="870">
        <v>343.4</v>
      </c>
      <c r="D56" s="871"/>
      <c r="E56" s="872"/>
      <c r="F56" s="872"/>
      <c r="G56" s="873"/>
      <c r="H56" s="874">
        <f t="shared" si="9"/>
        <v>0</v>
      </c>
      <c r="I56" s="871"/>
      <c r="J56" s="872"/>
      <c r="K56" s="872"/>
      <c r="L56" s="873"/>
      <c r="M56" s="874">
        <f t="shared" si="10"/>
        <v>0</v>
      </c>
      <c r="N56" s="874"/>
      <c r="O56" s="874"/>
      <c r="P56" s="969"/>
      <c r="Q56" s="972">
        <f t="shared" si="1"/>
        <v>0</v>
      </c>
      <c r="R56" s="972">
        <f t="shared" si="2"/>
        <v>343.4</v>
      </c>
    </row>
    <row r="57" spans="1:18" ht="15">
      <c r="A57" s="876"/>
      <c r="B57" s="877" t="s">
        <v>591</v>
      </c>
      <c r="C57" s="870">
        <v>346.5</v>
      </c>
      <c r="D57" s="878">
        <v>46.5</v>
      </c>
      <c r="E57" s="878">
        <v>20.7</v>
      </c>
      <c r="F57" s="878"/>
      <c r="G57" s="878"/>
      <c r="H57" s="874">
        <f t="shared" si="9"/>
        <v>67.2</v>
      </c>
      <c r="I57" s="878"/>
      <c r="J57" s="878"/>
      <c r="K57" s="878"/>
      <c r="L57" s="878"/>
      <c r="M57" s="874">
        <f t="shared" si="10"/>
        <v>0</v>
      </c>
      <c r="N57" s="879"/>
      <c r="O57" s="879"/>
      <c r="P57" s="970"/>
      <c r="Q57" s="972">
        <f t="shared" si="1"/>
        <v>67.2</v>
      </c>
      <c r="R57" s="972">
        <f t="shared" si="2"/>
        <v>413.7</v>
      </c>
    </row>
    <row r="58" spans="1:18" ht="15">
      <c r="A58" s="876"/>
      <c r="B58" s="877" t="s">
        <v>592</v>
      </c>
      <c r="C58" s="870"/>
      <c r="D58" s="878">
        <v>82.6</v>
      </c>
      <c r="E58" s="878">
        <v>22.4</v>
      </c>
      <c r="F58" s="878"/>
      <c r="G58" s="878"/>
      <c r="H58" s="874">
        <f t="shared" si="9"/>
        <v>105</v>
      </c>
      <c r="I58" s="878"/>
      <c r="J58" s="878"/>
      <c r="K58" s="878"/>
      <c r="L58" s="878"/>
      <c r="M58" s="874">
        <f t="shared" si="10"/>
        <v>0</v>
      </c>
      <c r="N58" s="879"/>
      <c r="O58" s="879"/>
      <c r="P58" s="970"/>
      <c r="Q58" s="972">
        <f t="shared" si="1"/>
        <v>105</v>
      </c>
      <c r="R58" s="972">
        <f t="shared" si="2"/>
        <v>105</v>
      </c>
    </row>
    <row r="59" spans="1:18" ht="15">
      <c r="A59" s="880"/>
      <c r="B59" s="877" t="s">
        <v>595</v>
      </c>
      <c r="C59" s="870">
        <v>438.9</v>
      </c>
      <c r="D59" s="881"/>
      <c r="E59" s="878"/>
      <c r="F59" s="878"/>
      <c r="G59" s="882"/>
      <c r="H59" s="874">
        <f t="shared" si="9"/>
        <v>0</v>
      </c>
      <c r="I59" s="881"/>
      <c r="J59" s="878"/>
      <c r="K59" s="878"/>
      <c r="L59" s="882"/>
      <c r="M59" s="874">
        <f t="shared" si="10"/>
        <v>0</v>
      </c>
      <c r="N59" s="879"/>
      <c r="O59" s="879"/>
      <c r="P59" s="970"/>
      <c r="Q59" s="972">
        <f t="shared" si="1"/>
        <v>0</v>
      </c>
      <c r="R59" s="972">
        <f t="shared" si="2"/>
        <v>438.9</v>
      </c>
    </row>
    <row r="60" spans="1:18" ht="24">
      <c r="A60" s="880"/>
      <c r="B60" s="877" t="s">
        <v>596</v>
      </c>
      <c r="C60" s="870"/>
      <c r="D60" s="881">
        <v>85.2</v>
      </c>
      <c r="E60" s="878">
        <v>62.4</v>
      </c>
      <c r="F60" s="878"/>
      <c r="G60" s="882"/>
      <c r="H60" s="874">
        <f t="shared" si="9"/>
        <v>147.6</v>
      </c>
      <c r="I60" s="881"/>
      <c r="J60" s="878"/>
      <c r="K60" s="878"/>
      <c r="L60" s="882"/>
      <c r="M60" s="874">
        <f t="shared" si="10"/>
        <v>0</v>
      </c>
      <c r="N60" s="879"/>
      <c r="O60" s="879"/>
      <c r="P60" s="970"/>
      <c r="Q60" s="972">
        <f t="shared" si="1"/>
        <v>147.6</v>
      </c>
      <c r="R60" s="972">
        <f t="shared" si="2"/>
        <v>147.6</v>
      </c>
    </row>
    <row r="61" spans="1:18" ht="27">
      <c r="A61" s="861" t="s">
        <v>529</v>
      </c>
      <c r="B61" s="884" t="s">
        <v>530</v>
      </c>
      <c r="C61" s="863">
        <f aca="true" t="shared" si="16" ref="C61:P61">SUM(C62:C67)</f>
        <v>7483.6</v>
      </c>
      <c r="D61" s="864">
        <f t="shared" si="16"/>
        <v>0</v>
      </c>
      <c r="E61" s="865">
        <f t="shared" si="16"/>
        <v>4926.6</v>
      </c>
      <c r="F61" s="865">
        <f t="shared" si="16"/>
        <v>0</v>
      </c>
      <c r="G61" s="866">
        <f t="shared" si="16"/>
        <v>4557.7</v>
      </c>
      <c r="H61" s="867">
        <f t="shared" si="16"/>
        <v>9484.3</v>
      </c>
      <c r="I61" s="864">
        <f t="shared" si="16"/>
        <v>0</v>
      </c>
      <c r="J61" s="865">
        <f t="shared" si="16"/>
        <v>3683.3999999999996</v>
      </c>
      <c r="K61" s="865">
        <f t="shared" si="16"/>
        <v>2294.6</v>
      </c>
      <c r="L61" s="866">
        <f t="shared" si="16"/>
        <v>0</v>
      </c>
      <c r="M61" s="867">
        <f t="shared" si="16"/>
        <v>5978</v>
      </c>
      <c r="N61" s="867">
        <f t="shared" si="16"/>
        <v>0</v>
      </c>
      <c r="O61" s="867">
        <f t="shared" si="16"/>
        <v>0</v>
      </c>
      <c r="P61" s="968">
        <f t="shared" si="16"/>
        <v>0</v>
      </c>
      <c r="Q61" s="972">
        <f t="shared" si="1"/>
        <v>15462.3</v>
      </c>
      <c r="R61" s="972">
        <f t="shared" si="2"/>
        <v>22945.9</v>
      </c>
    </row>
    <row r="62" spans="1:18" ht="15">
      <c r="A62" s="868"/>
      <c r="B62" s="869" t="s">
        <v>509</v>
      </c>
      <c r="C62" s="870">
        <v>6010.1</v>
      </c>
      <c r="D62" s="871"/>
      <c r="E62" s="872">
        <v>3956.6</v>
      </c>
      <c r="F62" s="872"/>
      <c r="G62" s="873">
        <v>3660.3</v>
      </c>
      <c r="H62" s="874">
        <f t="shared" si="9"/>
        <v>7616.9</v>
      </c>
      <c r="I62" s="871"/>
      <c r="J62" s="872">
        <v>2958.2</v>
      </c>
      <c r="K62" s="872">
        <v>1842.8</v>
      </c>
      <c r="L62" s="873"/>
      <c r="M62" s="874">
        <f t="shared" si="10"/>
        <v>4801</v>
      </c>
      <c r="N62" s="874"/>
      <c r="O62" s="874"/>
      <c r="P62" s="969"/>
      <c r="Q62" s="972">
        <f t="shared" si="1"/>
        <v>12417.9</v>
      </c>
      <c r="R62" s="972">
        <f t="shared" si="2"/>
        <v>18428</v>
      </c>
    </row>
    <row r="63" spans="1:18" ht="15">
      <c r="A63" s="868"/>
      <c r="B63" s="875" t="s">
        <v>510</v>
      </c>
      <c r="C63" s="870">
        <v>766.4</v>
      </c>
      <c r="D63" s="871"/>
      <c r="E63" s="872"/>
      <c r="F63" s="872"/>
      <c r="G63" s="873"/>
      <c r="H63" s="874">
        <f t="shared" si="9"/>
        <v>0</v>
      </c>
      <c r="I63" s="871"/>
      <c r="J63" s="872"/>
      <c r="K63" s="872"/>
      <c r="L63" s="873"/>
      <c r="M63" s="874">
        <f t="shared" si="10"/>
        <v>0</v>
      </c>
      <c r="N63" s="874"/>
      <c r="O63" s="874"/>
      <c r="P63" s="969"/>
      <c r="Q63" s="972">
        <f t="shared" si="1"/>
        <v>0</v>
      </c>
      <c r="R63" s="972">
        <f t="shared" si="2"/>
        <v>766.4</v>
      </c>
    </row>
    <row r="64" spans="1:18" ht="15">
      <c r="A64" s="885"/>
      <c r="B64" s="877" t="s">
        <v>591</v>
      </c>
      <c r="C64" s="870">
        <v>707.1</v>
      </c>
      <c r="D64" s="878"/>
      <c r="E64" s="878">
        <v>465.5</v>
      </c>
      <c r="F64" s="878"/>
      <c r="G64" s="878">
        <v>430.6</v>
      </c>
      <c r="H64" s="874">
        <f t="shared" si="9"/>
        <v>896.1</v>
      </c>
      <c r="I64" s="878"/>
      <c r="J64" s="878">
        <v>348</v>
      </c>
      <c r="K64" s="878">
        <v>216.8</v>
      </c>
      <c r="L64" s="878"/>
      <c r="M64" s="874">
        <f t="shared" si="10"/>
        <v>564.8</v>
      </c>
      <c r="N64" s="879"/>
      <c r="O64" s="879"/>
      <c r="P64" s="970"/>
      <c r="Q64" s="972">
        <f t="shared" si="1"/>
        <v>1460.9</v>
      </c>
      <c r="R64" s="972">
        <f t="shared" si="2"/>
        <v>2168</v>
      </c>
    </row>
    <row r="65" spans="1:18" ht="15">
      <c r="A65" s="885"/>
      <c r="B65" s="877" t="s">
        <v>592</v>
      </c>
      <c r="C65" s="870"/>
      <c r="D65" s="878"/>
      <c r="E65" s="878">
        <v>504.5</v>
      </c>
      <c r="F65" s="878"/>
      <c r="G65" s="878">
        <v>466.8</v>
      </c>
      <c r="H65" s="874">
        <f t="shared" si="9"/>
        <v>971.3</v>
      </c>
      <c r="I65" s="878"/>
      <c r="J65" s="878">
        <v>377.2</v>
      </c>
      <c r="K65" s="878">
        <v>235</v>
      </c>
      <c r="L65" s="878"/>
      <c r="M65" s="874">
        <f t="shared" si="10"/>
        <v>612.2</v>
      </c>
      <c r="N65" s="879"/>
      <c r="O65" s="879"/>
      <c r="P65" s="970"/>
      <c r="Q65" s="972">
        <f t="shared" si="1"/>
        <v>1583.5</v>
      </c>
      <c r="R65" s="972">
        <f t="shared" si="2"/>
        <v>1583.5</v>
      </c>
    </row>
    <row r="66" spans="1:18" ht="15">
      <c r="A66" s="880"/>
      <c r="B66" s="877" t="s">
        <v>595</v>
      </c>
      <c r="C66" s="870"/>
      <c r="D66" s="881"/>
      <c r="E66" s="878"/>
      <c r="F66" s="878"/>
      <c r="G66" s="882"/>
      <c r="H66" s="874">
        <f t="shared" si="9"/>
        <v>0</v>
      </c>
      <c r="I66" s="881"/>
      <c r="J66" s="878"/>
      <c r="K66" s="878"/>
      <c r="L66" s="882"/>
      <c r="M66" s="874">
        <f t="shared" si="10"/>
        <v>0</v>
      </c>
      <c r="N66" s="879"/>
      <c r="O66" s="879"/>
      <c r="P66" s="970"/>
      <c r="Q66" s="972">
        <f t="shared" si="1"/>
        <v>0</v>
      </c>
      <c r="R66" s="972">
        <f t="shared" si="2"/>
        <v>0</v>
      </c>
    </row>
    <row r="67" spans="1:18" ht="24">
      <c r="A67" s="880"/>
      <c r="B67" s="877" t="s">
        <v>596</v>
      </c>
      <c r="C67" s="870"/>
      <c r="D67" s="881"/>
      <c r="E67" s="878"/>
      <c r="F67" s="878"/>
      <c r="G67" s="882"/>
      <c r="H67" s="874">
        <f t="shared" si="9"/>
        <v>0</v>
      </c>
      <c r="I67" s="881"/>
      <c r="J67" s="878"/>
      <c r="K67" s="878"/>
      <c r="L67" s="882"/>
      <c r="M67" s="874">
        <f t="shared" si="10"/>
        <v>0</v>
      </c>
      <c r="N67" s="879"/>
      <c r="O67" s="879"/>
      <c r="P67" s="970"/>
      <c r="Q67" s="972">
        <f t="shared" si="1"/>
        <v>0</v>
      </c>
      <c r="R67" s="972">
        <f t="shared" si="2"/>
        <v>0</v>
      </c>
    </row>
    <row r="68" spans="1:18" ht="15">
      <c r="A68" s="861" t="s">
        <v>531</v>
      </c>
      <c r="B68" s="884" t="s">
        <v>532</v>
      </c>
      <c r="C68" s="863">
        <f aca="true" t="shared" si="17" ref="C68:P68">SUM(C69:C74)</f>
        <v>245.79999999999998</v>
      </c>
      <c r="D68" s="864">
        <f t="shared" si="17"/>
        <v>0</v>
      </c>
      <c r="E68" s="865">
        <f t="shared" si="17"/>
        <v>29.6</v>
      </c>
      <c r="F68" s="865">
        <f t="shared" si="17"/>
        <v>0</v>
      </c>
      <c r="G68" s="866">
        <f t="shared" si="17"/>
        <v>28.299999999999997</v>
      </c>
      <c r="H68" s="867">
        <f t="shared" si="17"/>
        <v>57.9</v>
      </c>
      <c r="I68" s="864">
        <f t="shared" si="17"/>
        <v>0</v>
      </c>
      <c r="J68" s="865">
        <f t="shared" si="17"/>
        <v>37.199999999999996</v>
      </c>
      <c r="K68" s="865">
        <f t="shared" si="17"/>
        <v>12.5</v>
      </c>
      <c r="L68" s="866">
        <f t="shared" si="17"/>
        <v>0</v>
      </c>
      <c r="M68" s="867">
        <f t="shared" si="17"/>
        <v>49.7</v>
      </c>
      <c r="N68" s="867">
        <f t="shared" si="17"/>
        <v>10.2</v>
      </c>
      <c r="O68" s="867">
        <f t="shared" si="17"/>
        <v>0</v>
      </c>
      <c r="P68" s="968">
        <f t="shared" si="17"/>
        <v>0</v>
      </c>
      <c r="Q68" s="972">
        <f t="shared" si="1"/>
        <v>117.8</v>
      </c>
      <c r="R68" s="972">
        <f t="shared" si="2"/>
        <v>363.59999999999997</v>
      </c>
    </row>
    <row r="69" spans="1:18" ht="15">
      <c r="A69" s="868"/>
      <c r="B69" s="869" t="s">
        <v>509</v>
      </c>
      <c r="C69" s="870">
        <v>197.4</v>
      </c>
      <c r="D69" s="871"/>
      <c r="E69" s="872">
        <v>23.8</v>
      </c>
      <c r="F69" s="872"/>
      <c r="G69" s="873">
        <v>22.7</v>
      </c>
      <c r="H69" s="874">
        <f t="shared" si="9"/>
        <v>46.5</v>
      </c>
      <c r="I69" s="871"/>
      <c r="J69" s="872">
        <v>29.9</v>
      </c>
      <c r="K69" s="872">
        <v>10</v>
      </c>
      <c r="L69" s="873"/>
      <c r="M69" s="874">
        <f t="shared" si="10"/>
        <v>39.9</v>
      </c>
      <c r="N69" s="874">
        <v>8.2</v>
      </c>
      <c r="O69" s="874"/>
      <c r="P69" s="969"/>
      <c r="Q69" s="972">
        <f t="shared" si="1"/>
        <v>94.60000000000001</v>
      </c>
      <c r="R69" s="972">
        <f t="shared" si="2"/>
        <v>292</v>
      </c>
    </row>
    <row r="70" spans="1:18" ht="15">
      <c r="A70" s="868"/>
      <c r="B70" s="875" t="s">
        <v>510</v>
      </c>
      <c r="C70" s="870">
        <v>25.2</v>
      </c>
      <c r="D70" s="871"/>
      <c r="E70" s="872"/>
      <c r="F70" s="872"/>
      <c r="G70" s="873"/>
      <c r="H70" s="874">
        <f t="shared" si="9"/>
        <v>0</v>
      </c>
      <c r="I70" s="871"/>
      <c r="J70" s="872"/>
      <c r="K70" s="872"/>
      <c r="L70" s="873"/>
      <c r="M70" s="874">
        <f t="shared" si="10"/>
        <v>0</v>
      </c>
      <c r="N70" s="874"/>
      <c r="O70" s="874"/>
      <c r="P70" s="969"/>
      <c r="Q70" s="972">
        <f aca="true" t="shared" si="18" ref="Q70:Q105">H70+M70+N70+O70+P70</f>
        <v>0</v>
      </c>
      <c r="R70" s="972">
        <f aca="true" t="shared" si="19" ref="R70:R105">C70+H70+M70+N70+O70+P70</f>
        <v>25.2</v>
      </c>
    </row>
    <row r="71" spans="1:18" ht="15">
      <c r="A71" s="885"/>
      <c r="B71" s="877" t="s">
        <v>591</v>
      </c>
      <c r="C71" s="870">
        <v>23.2</v>
      </c>
      <c r="D71" s="878"/>
      <c r="E71" s="878">
        <v>2.8</v>
      </c>
      <c r="F71" s="878"/>
      <c r="G71" s="878">
        <v>2.7</v>
      </c>
      <c r="H71" s="874">
        <f t="shared" si="9"/>
        <v>5.5</v>
      </c>
      <c r="I71" s="878"/>
      <c r="J71" s="878">
        <v>3.5</v>
      </c>
      <c r="K71" s="878">
        <v>1.2</v>
      </c>
      <c r="L71" s="878"/>
      <c r="M71" s="874">
        <f t="shared" si="10"/>
        <v>4.7</v>
      </c>
      <c r="N71" s="879">
        <v>1</v>
      </c>
      <c r="O71" s="879"/>
      <c r="P71" s="970"/>
      <c r="Q71" s="972">
        <f t="shared" si="18"/>
        <v>11.2</v>
      </c>
      <c r="R71" s="972">
        <f t="shared" si="19"/>
        <v>34.4</v>
      </c>
    </row>
    <row r="72" spans="1:18" ht="15">
      <c r="A72" s="885"/>
      <c r="B72" s="877" t="s">
        <v>592</v>
      </c>
      <c r="C72" s="870"/>
      <c r="D72" s="878"/>
      <c r="E72" s="878">
        <v>3</v>
      </c>
      <c r="F72" s="878"/>
      <c r="G72" s="878">
        <v>2.9</v>
      </c>
      <c r="H72" s="874">
        <f t="shared" si="9"/>
        <v>5.9</v>
      </c>
      <c r="I72" s="878"/>
      <c r="J72" s="878">
        <v>3.8</v>
      </c>
      <c r="K72" s="878">
        <v>1.3</v>
      </c>
      <c r="L72" s="878"/>
      <c r="M72" s="874">
        <f t="shared" si="10"/>
        <v>5.1</v>
      </c>
      <c r="N72" s="879">
        <v>1</v>
      </c>
      <c r="O72" s="879"/>
      <c r="P72" s="970"/>
      <c r="Q72" s="972">
        <f t="shared" si="18"/>
        <v>12</v>
      </c>
      <c r="R72" s="972">
        <f t="shared" si="19"/>
        <v>12</v>
      </c>
    </row>
    <row r="73" spans="1:18" ht="15">
      <c r="A73" s="880"/>
      <c r="B73" s="877" t="s">
        <v>595</v>
      </c>
      <c r="C73" s="870"/>
      <c r="D73" s="881"/>
      <c r="E73" s="878"/>
      <c r="F73" s="878"/>
      <c r="G73" s="882"/>
      <c r="H73" s="874">
        <f t="shared" si="9"/>
        <v>0</v>
      </c>
      <c r="I73" s="881"/>
      <c r="J73" s="878"/>
      <c r="K73" s="878"/>
      <c r="L73" s="882"/>
      <c r="M73" s="874">
        <f t="shared" si="10"/>
        <v>0</v>
      </c>
      <c r="N73" s="879"/>
      <c r="O73" s="879"/>
      <c r="P73" s="970"/>
      <c r="Q73" s="972">
        <f t="shared" si="18"/>
        <v>0</v>
      </c>
      <c r="R73" s="972">
        <f t="shared" si="19"/>
        <v>0</v>
      </c>
    </row>
    <row r="74" spans="1:18" ht="24">
      <c r="A74" s="880"/>
      <c r="B74" s="877" t="s">
        <v>596</v>
      </c>
      <c r="C74" s="870"/>
      <c r="D74" s="881"/>
      <c r="E74" s="878"/>
      <c r="F74" s="878"/>
      <c r="G74" s="882"/>
      <c r="H74" s="874">
        <f t="shared" si="9"/>
        <v>0</v>
      </c>
      <c r="I74" s="881"/>
      <c r="J74" s="878"/>
      <c r="K74" s="878"/>
      <c r="L74" s="882"/>
      <c r="M74" s="874">
        <f t="shared" si="10"/>
        <v>0</v>
      </c>
      <c r="N74" s="879"/>
      <c r="O74" s="879"/>
      <c r="P74" s="970"/>
      <c r="Q74" s="972">
        <f t="shared" si="18"/>
        <v>0</v>
      </c>
      <c r="R74" s="972">
        <f t="shared" si="19"/>
        <v>0</v>
      </c>
    </row>
    <row r="75" spans="1:18" ht="24">
      <c r="A75" s="886" t="s">
        <v>533</v>
      </c>
      <c r="B75" s="855" t="s">
        <v>534</v>
      </c>
      <c r="C75" s="856">
        <f>C76+C81+C86+C91</f>
        <v>10902</v>
      </c>
      <c r="D75" s="857">
        <f aca="true" t="shared" si="20" ref="D75:P75">D76+D81+D86+D91</f>
        <v>343.2</v>
      </c>
      <c r="E75" s="858">
        <f t="shared" si="20"/>
        <v>4791</v>
      </c>
      <c r="F75" s="858">
        <f t="shared" si="20"/>
        <v>3685.1</v>
      </c>
      <c r="G75" s="859">
        <f t="shared" si="20"/>
        <v>3585.2</v>
      </c>
      <c r="H75" s="860">
        <f t="shared" si="20"/>
        <v>12404.5</v>
      </c>
      <c r="I75" s="857">
        <f t="shared" si="20"/>
        <v>10870.7</v>
      </c>
      <c r="J75" s="858">
        <f t="shared" si="20"/>
        <v>1798.8000000000002</v>
      </c>
      <c r="K75" s="858">
        <f t="shared" si="20"/>
        <v>0</v>
      </c>
      <c r="L75" s="859">
        <f t="shared" si="20"/>
        <v>0</v>
      </c>
      <c r="M75" s="860">
        <f t="shared" si="20"/>
        <v>12669.5</v>
      </c>
      <c r="N75" s="860">
        <f t="shared" si="20"/>
        <v>0</v>
      </c>
      <c r="O75" s="860">
        <f t="shared" si="20"/>
        <v>0</v>
      </c>
      <c r="P75" s="967">
        <f t="shared" si="20"/>
        <v>0</v>
      </c>
      <c r="Q75" s="972">
        <f t="shared" si="18"/>
        <v>25074</v>
      </c>
      <c r="R75" s="972">
        <f t="shared" si="19"/>
        <v>35976</v>
      </c>
    </row>
    <row r="76" spans="1:18" ht="27">
      <c r="A76" s="861" t="s">
        <v>535</v>
      </c>
      <c r="B76" s="884" t="s">
        <v>600</v>
      </c>
      <c r="C76" s="863">
        <f>SUM(C77:C80)</f>
        <v>4833.799999999999</v>
      </c>
      <c r="D76" s="864">
        <f aca="true" t="shared" si="21" ref="D76:P76">SUM(D77:D80)</f>
        <v>220</v>
      </c>
      <c r="E76" s="865">
        <f t="shared" si="21"/>
        <v>2090</v>
      </c>
      <c r="F76" s="865">
        <f t="shared" si="21"/>
        <v>1649.9999999999998</v>
      </c>
      <c r="G76" s="866">
        <f t="shared" si="21"/>
        <v>1638.2</v>
      </c>
      <c r="H76" s="867">
        <f t="shared" si="21"/>
        <v>5598.2</v>
      </c>
      <c r="I76" s="864">
        <f t="shared" si="21"/>
        <v>4663.4</v>
      </c>
      <c r="J76" s="865">
        <f t="shared" si="21"/>
        <v>794.4</v>
      </c>
      <c r="K76" s="865">
        <f t="shared" si="21"/>
        <v>0</v>
      </c>
      <c r="L76" s="866">
        <f t="shared" si="21"/>
        <v>0</v>
      </c>
      <c r="M76" s="867">
        <f t="shared" si="21"/>
        <v>5457.8</v>
      </c>
      <c r="N76" s="867">
        <f t="shared" si="21"/>
        <v>0</v>
      </c>
      <c r="O76" s="867">
        <f t="shared" si="21"/>
        <v>0</v>
      </c>
      <c r="P76" s="968">
        <f t="shared" si="21"/>
        <v>0</v>
      </c>
      <c r="Q76" s="972">
        <f t="shared" si="18"/>
        <v>11056</v>
      </c>
      <c r="R76" s="972">
        <f t="shared" si="19"/>
        <v>15889.8</v>
      </c>
    </row>
    <row r="77" spans="1:18" ht="15">
      <c r="A77" s="868"/>
      <c r="B77" s="869" t="s">
        <v>509</v>
      </c>
      <c r="C77" s="870">
        <v>4087.5</v>
      </c>
      <c r="D77" s="871">
        <v>186</v>
      </c>
      <c r="E77" s="872">
        <v>1767.4</v>
      </c>
      <c r="F77" s="872">
        <v>1395.3</v>
      </c>
      <c r="G77" s="873">
        <v>1385.3</v>
      </c>
      <c r="H77" s="874">
        <f aca="true" t="shared" si="22" ref="H77:H95">SUM(D77:G77)</f>
        <v>4734</v>
      </c>
      <c r="I77" s="871">
        <v>3943.5</v>
      </c>
      <c r="J77" s="872">
        <v>671.8</v>
      </c>
      <c r="K77" s="872"/>
      <c r="L77" s="873"/>
      <c r="M77" s="874">
        <f aca="true" t="shared" si="23" ref="M77:M95">SUM(I77:L77)</f>
        <v>4615.3</v>
      </c>
      <c r="N77" s="874"/>
      <c r="O77" s="874"/>
      <c r="P77" s="969"/>
      <c r="Q77" s="972">
        <f t="shared" si="18"/>
        <v>9349.3</v>
      </c>
      <c r="R77" s="972">
        <f t="shared" si="19"/>
        <v>13436.8</v>
      </c>
    </row>
    <row r="78" spans="1:18" ht="15">
      <c r="A78" s="868"/>
      <c r="B78" s="875" t="s">
        <v>510</v>
      </c>
      <c r="C78" s="870">
        <v>265.4</v>
      </c>
      <c r="D78" s="871"/>
      <c r="E78" s="872"/>
      <c r="F78" s="872"/>
      <c r="G78" s="873"/>
      <c r="H78" s="874">
        <f t="shared" si="22"/>
        <v>0</v>
      </c>
      <c r="I78" s="871"/>
      <c r="J78" s="872"/>
      <c r="K78" s="872"/>
      <c r="L78" s="873"/>
      <c r="M78" s="874">
        <f t="shared" si="23"/>
        <v>0</v>
      </c>
      <c r="N78" s="874"/>
      <c r="O78" s="874"/>
      <c r="P78" s="969"/>
      <c r="Q78" s="972">
        <f t="shared" si="18"/>
        <v>0</v>
      </c>
      <c r="R78" s="972">
        <f t="shared" si="19"/>
        <v>265.4</v>
      </c>
    </row>
    <row r="79" spans="1:18" ht="15">
      <c r="A79" s="885"/>
      <c r="B79" s="877" t="s">
        <v>591</v>
      </c>
      <c r="C79" s="870">
        <v>480.9</v>
      </c>
      <c r="D79" s="878">
        <v>21.9</v>
      </c>
      <c r="E79" s="878">
        <v>207.9</v>
      </c>
      <c r="F79" s="878">
        <v>164.1</v>
      </c>
      <c r="G79" s="878">
        <v>163</v>
      </c>
      <c r="H79" s="874">
        <f t="shared" si="22"/>
        <v>556.9</v>
      </c>
      <c r="I79" s="878">
        <v>463.9</v>
      </c>
      <c r="J79" s="878">
        <v>79</v>
      </c>
      <c r="K79" s="878"/>
      <c r="L79" s="878"/>
      <c r="M79" s="874">
        <f t="shared" si="23"/>
        <v>542.9</v>
      </c>
      <c r="N79" s="879"/>
      <c r="O79" s="879"/>
      <c r="P79" s="970"/>
      <c r="Q79" s="972">
        <f t="shared" si="18"/>
        <v>1099.8</v>
      </c>
      <c r="R79" s="972">
        <f t="shared" si="19"/>
        <v>1580.6999999999998</v>
      </c>
    </row>
    <row r="80" spans="1:18" ht="15">
      <c r="A80" s="876"/>
      <c r="B80" s="877" t="s">
        <v>592</v>
      </c>
      <c r="C80" s="870"/>
      <c r="D80" s="878">
        <v>12.1</v>
      </c>
      <c r="E80" s="878">
        <v>114.7</v>
      </c>
      <c r="F80" s="878">
        <v>90.6</v>
      </c>
      <c r="G80" s="878">
        <v>89.9</v>
      </c>
      <c r="H80" s="874">
        <f t="shared" si="22"/>
        <v>307.29999999999995</v>
      </c>
      <c r="I80" s="878">
        <v>256</v>
      </c>
      <c r="J80" s="878">
        <v>43.6</v>
      </c>
      <c r="K80" s="878"/>
      <c r="L80" s="878"/>
      <c r="M80" s="874">
        <f t="shared" si="23"/>
        <v>299.6</v>
      </c>
      <c r="N80" s="879"/>
      <c r="O80" s="879"/>
      <c r="P80" s="970"/>
      <c r="Q80" s="972">
        <f t="shared" si="18"/>
        <v>606.9</v>
      </c>
      <c r="R80" s="972">
        <f t="shared" si="19"/>
        <v>606.9</v>
      </c>
    </row>
    <row r="81" spans="1:18" ht="40.5">
      <c r="A81" s="861" t="s">
        <v>536</v>
      </c>
      <c r="B81" s="884" t="s">
        <v>601</v>
      </c>
      <c r="C81" s="863">
        <f aca="true" t="shared" si="24" ref="C81:P81">SUM(C82:C85)</f>
        <v>3693.1000000000004</v>
      </c>
      <c r="D81" s="864">
        <f t="shared" si="24"/>
        <v>68.2</v>
      </c>
      <c r="E81" s="865">
        <f t="shared" si="24"/>
        <v>1436.1000000000001</v>
      </c>
      <c r="F81" s="865">
        <f t="shared" si="24"/>
        <v>1320</v>
      </c>
      <c r="G81" s="866">
        <f t="shared" si="24"/>
        <v>1176.9999999999998</v>
      </c>
      <c r="H81" s="867">
        <f t="shared" si="24"/>
        <v>4001.2999999999997</v>
      </c>
      <c r="I81" s="864">
        <f t="shared" si="24"/>
        <v>3866.3</v>
      </c>
      <c r="J81" s="865">
        <f t="shared" si="24"/>
        <v>608.4</v>
      </c>
      <c r="K81" s="865">
        <f t="shared" si="24"/>
        <v>0</v>
      </c>
      <c r="L81" s="866">
        <f t="shared" si="24"/>
        <v>0</v>
      </c>
      <c r="M81" s="867">
        <f t="shared" si="24"/>
        <v>4474.7</v>
      </c>
      <c r="N81" s="867">
        <f t="shared" si="24"/>
        <v>0</v>
      </c>
      <c r="O81" s="867">
        <f t="shared" si="24"/>
        <v>0</v>
      </c>
      <c r="P81" s="968">
        <f t="shared" si="24"/>
        <v>0</v>
      </c>
      <c r="Q81" s="972">
        <f t="shared" si="18"/>
        <v>8476</v>
      </c>
      <c r="R81" s="972">
        <f t="shared" si="19"/>
        <v>12169.099999999999</v>
      </c>
    </row>
    <row r="82" spans="1:18" ht="15">
      <c r="A82" s="868"/>
      <c r="B82" s="869" t="s">
        <v>509</v>
      </c>
      <c r="C82" s="870">
        <v>3122.9</v>
      </c>
      <c r="D82" s="871">
        <v>57.7</v>
      </c>
      <c r="E82" s="872">
        <v>1214.3</v>
      </c>
      <c r="F82" s="872">
        <v>1116.2</v>
      </c>
      <c r="G82" s="873">
        <v>995.3</v>
      </c>
      <c r="H82" s="874">
        <f t="shared" si="22"/>
        <v>3383.5</v>
      </c>
      <c r="I82" s="871">
        <v>3269.4</v>
      </c>
      <c r="J82" s="872">
        <v>514.5</v>
      </c>
      <c r="K82" s="872"/>
      <c r="L82" s="873"/>
      <c r="M82" s="874">
        <f t="shared" si="23"/>
        <v>3783.9</v>
      </c>
      <c r="N82" s="874"/>
      <c r="O82" s="874"/>
      <c r="P82" s="969"/>
      <c r="Q82" s="972">
        <f t="shared" si="18"/>
        <v>7167.4</v>
      </c>
      <c r="R82" s="972">
        <f t="shared" si="19"/>
        <v>10290.3</v>
      </c>
    </row>
    <row r="83" spans="1:18" ht="15">
      <c r="A83" s="868"/>
      <c r="B83" s="875" t="s">
        <v>510</v>
      </c>
      <c r="C83" s="870">
        <v>202.8</v>
      </c>
      <c r="D83" s="871"/>
      <c r="E83" s="872"/>
      <c r="F83" s="872"/>
      <c r="G83" s="873"/>
      <c r="H83" s="874">
        <f t="shared" si="22"/>
        <v>0</v>
      </c>
      <c r="I83" s="871"/>
      <c r="J83" s="872"/>
      <c r="K83" s="872"/>
      <c r="L83" s="873"/>
      <c r="M83" s="874">
        <f t="shared" si="23"/>
        <v>0</v>
      </c>
      <c r="N83" s="874"/>
      <c r="O83" s="874"/>
      <c r="P83" s="969"/>
      <c r="Q83" s="972">
        <f t="shared" si="18"/>
        <v>0</v>
      </c>
      <c r="R83" s="972">
        <f t="shared" si="19"/>
        <v>202.8</v>
      </c>
    </row>
    <row r="84" spans="1:18" ht="15">
      <c r="A84" s="885"/>
      <c r="B84" s="877" t="s">
        <v>591</v>
      </c>
      <c r="C84" s="870">
        <v>367.4</v>
      </c>
      <c r="D84" s="878">
        <v>6.8</v>
      </c>
      <c r="E84" s="878">
        <v>142.9</v>
      </c>
      <c r="F84" s="878">
        <v>131.3</v>
      </c>
      <c r="G84" s="878">
        <v>117.1</v>
      </c>
      <c r="H84" s="874">
        <f t="shared" si="22"/>
        <v>398.1</v>
      </c>
      <c r="I84" s="878">
        <v>384.6</v>
      </c>
      <c r="J84" s="878">
        <v>60.5</v>
      </c>
      <c r="K84" s="878"/>
      <c r="L84" s="878"/>
      <c r="M84" s="874">
        <f t="shared" si="23"/>
        <v>445.1</v>
      </c>
      <c r="N84" s="879"/>
      <c r="O84" s="879"/>
      <c r="P84" s="970"/>
      <c r="Q84" s="972">
        <f t="shared" si="18"/>
        <v>843.2</v>
      </c>
      <c r="R84" s="972">
        <f t="shared" si="19"/>
        <v>1210.6</v>
      </c>
    </row>
    <row r="85" spans="1:18" ht="15">
      <c r="A85" s="876"/>
      <c r="B85" s="877" t="s">
        <v>592</v>
      </c>
      <c r="C85" s="870"/>
      <c r="D85" s="878">
        <v>3.7</v>
      </c>
      <c r="E85" s="878">
        <v>78.9</v>
      </c>
      <c r="F85" s="878">
        <v>72.5</v>
      </c>
      <c r="G85" s="878">
        <v>64.6</v>
      </c>
      <c r="H85" s="874">
        <f>SUM(D85:G85)</f>
        <v>219.70000000000002</v>
      </c>
      <c r="I85" s="878">
        <v>212.3</v>
      </c>
      <c r="J85" s="878">
        <v>33.4</v>
      </c>
      <c r="K85" s="878"/>
      <c r="L85" s="878"/>
      <c r="M85" s="874">
        <f>SUM(I85:L85)</f>
        <v>245.70000000000002</v>
      </c>
      <c r="N85" s="879"/>
      <c r="O85" s="879"/>
      <c r="P85" s="970"/>
      <c r="Q85" s="972">
        <f t="shared" si="18"/>
        <v>465.40000000000003</v>
      </c>
      <c r="R85" s="972">
        <f t="shared" si="19"/>
        <v>465.40000000000003</v>
      </c>
    </row>
    <row r="86" spans="1:18" ht="40.5">
      <c r="A86" s="861" t="s">
        <v>537</v>
      </c>
      <c r="B86" s="884" t="s">
        <v>602</v>
      </c>
      <c r="C86" s="863">
        <f>SUM(C87:C90)</f>
        <v>1349.9999999999998</v>
      </c>
      <c r="D86" s="864">
        <f aca="true" t="shared" si="25" ref="D86:P86">SUM(D87:D90)</f>
        <v>33</v>
      </c>
      <c r="E86" s="865">
        <f t="shared" si="25"/>
        <v>550.0000000000001</v>
      </c>
      <c r="F86" s="865">
        <f t="shared" si="25"/>
        <v>440.1</v>
      </c>
      <c r="G86" s="866">
        <f t="shared" si="25"/>
        <v>550.0000000000001</v>
      </c>
      <c r="H86" s="867">
        <f t="shared" si="25"/>
        <v>1573.1000000000001</v>
      </c>
      <c r="I86" s="864">
        <f t="shared" si="25"/>
        <v>1352</v>
      </c>
      <c r="J86" s="865">
        <f t="shared" si="25"/>
        <v>225.10000000000002</v>
      </c>
      <c r="K86" s="865">
        <f t="shared" si="25"/>
        <v>0</v>
      </c>
      <c r="L86" s="866">
        <f t="shared" si="25"/>
        <v>0</v>
      </c>
      <c r="M86" s="867">
        <f t="shared" si="25"/>
        <v>1577.1</v>
      </c>
      <c r="N86" s="867">
        <f t="shared" si="25"/>
        <v>0</v>
      </c>
      <c r="O86" s="867">
        <f t="shared" si="25"/>
        <v>0</v>
      </c>
      <c r="P86" s="968">
        <f t="shared" si="25"/>
        <v>0</v>
      </c>
      <c r="Q86" s="972">
        <f t="shared" si="18"/>
        <v>3150.2</v>
      </c>
      <c r="R86" s="972">
        <f t="shared" si="19"/>
        <v>4500.2</v>
      </c>
    </row>
    <row r="87" spans="1:18" ht="15">
      <c r="A87" s="868"/>
      <c r="B87" s="869" t="s">
        <v>509</v>
      </c>
      <c r="C87" s="870">
        <v>1141.6</v>
      </c>
      <c r="D87" s="871">
        <v>27.9</v>
      </c>
      <c r="E87" s="872">
        <v>465.1</v>
      </c>
      <c r="F87" s="872">
        <v>372.1</v>
      </c>
      <c r="G87" s="873">
        <v>465.1</v>
      </c>
      <c r="H87" s="874">
        <f t="shared" si="22"/>
        <v>1330.2</v>
      </c>
      <c r="I87" s="871">
        <v>1143.3</v>
      </c>
      <c r="J87" s="872">
        <v>190.3</v>
      </c>
      <c r="K87" s="872"/>
      <c r="L87" s="873"/>
      <c r="M87" s="874">
        <f t="shared" si="23"/>
        <v>1333.6</v>
      </c>
      <c r="N87" s="874"/>
      <c r="O87" s="874"/>
      <c r="P87" s="969"/>
      <c r="Q87" s="972">
        <f t="shared" si="18"/>
        <v>2663.8</v>
      </c>
      <c r="R87" s="972">
        <f t="shared" si="19"/>
        <v>3805.4</v>
      </c>
    </row>
    <row r="88" spans="1:18" ht="15">
      <c r="A88" s="868"/>
      <c r="B88" s="875" t="s">
        <v>510</v>
      </c>
      <c r="C88" s="870">
        <v>74.1</v>
      </c>
      <c r="D88" s="871"/>
      <c r="E88" s="872"/>
      <c r="F88" s="872"/>
      <c r="G88" s="873"/>
      <c r="H88" s="874">
        <f t="shared" si="22"/>
        <v>0</v>
      </c>
      <c r="I88" s="871"/>
      <c r="J88" s="872"/>
      <c r="K88" s="872"/>
      <c r="L88" s="873"/>
      <c r="M88" s="874">
        <f t="shared" si="23"/>
        <v>0</v>
      </c>
      <c r="N88" s="874"/>
      <c r="O88" s="874"/>
      <c r="P88" s="969"/>
      <c r="Q88" s="972">
        <f t="shared" si="18"/>
        <v>0</v>
      </c>
      <c r="R88" s="972">
        <f t="shared" si="19"/>
        <v>74.1</v>
      </c>
    </row>
    <row r="89" spans="1:18" ht="15">
      <c r="A89" s="885"/>
      <c r="B89" s="877" t="s">
        <v>591</v>
      </c>
      <c r="C89" s="870">
        <v>134.3</v>
      </c>
      <c r="D89" s="878">
        <v>3.3</v>
      </c>
      <c r="E89" s="878">
        <v>54.7</v>
      </c>
      <c r="F89" s="878">
        <v>43.8</v>
      </c>
      <c r="G89" s="878">
        <v>54.7</v>
      </c>
      <c r="H89" s="874">
        <f t="shared" si="22"/>
        <v>156.5</v>
      </c>
      <c r="I89" s="878">
        <v>134.5</v>
      </c>
      <c r="J89" s="878">
        <v>22.4</v>
      </c>
      <c r="K89" s="878"/>
      <c r="L89" s="878"/>
      <c r="M89" s="874">
        <f t="shared" si="23"/>
        <v>156.9</v>
      </c>
      <c r="N89" s="879"/>
      <c r="O89" s="879"/>
      <c r="P89" s="970"/>
      <c r="Q89" s="972">
        <f t="shared" si="18"/>
        <v>313.4</v>
      </c>
      <c r="R89" s="972">
        <f t="shared" si="19"/>
        <v>447.70000000000005</v>
      </c>
    </row>
    <row r="90" spans="1:18" ht="15">
      <c r="A90" s="876"/>
      <c r="B90" s="877" t="s">
        <v>592</v>
      </c>
      <c r="C90" s="870"/>
      <c r="D90" s="878">
        <v>1.8</v>
      </c>
      <c r="E90" s="878">
        <v>30.2</v>
      </c>
      <c r="F90" s="878">
        <v>24.2</v>
      </c>
      <c r="G90" s="878">
        <v>30.2</v>
      </c>
      <c r="H90" s="874">
        <f t="shared" si="22"/>
        <v>86.4</v>
      </c>
      <c r="I90" s="878">
        <v>74.2</v>
      </c>
      <c r="J90" s="878">
        <v>12.4</v>
      </c>
      <c r="K90" s="878"/>
      <c r="L90" s="878"/>
      <c r="M90" s="874">
        <f t="shared" si="23"/>
        <v>86.60000000000001</v>
      </c>
      <c r="N90" s="879"/>
      <c r="O90" s="879"/>
      <c r="P90" s="970"/>
      <c r="Q90" s="972">
        <f t="shared" si="18"/>
        <v>173</v>
      </c>
      <c r="R90" s="972">
        <f t="shared" si="19"/>
        <v>173</v>
      </c>
    </row>
    <row r="91" spans="1:18" ht="54">
      <c r="A91" s="861" t="s">
        <v>538</v>
      </c>
      <c r="B91" s="884" t="s">
        <v>603</v>
      </c>
      <c r="C91" s="863">
        <f>SUM(C92:C95)</f>
        <v>1025.1</v>
      </c>
      <c r="D91" s="864">
        <f>SUM(D92:D95)</f>
        <v>22</v>
      </c>
      <c r="E91" s="865">
        <f>SUM(E92:E95)</f>
        <v>714.9000000000001</v>
      </c>
      <c r="F91" s="865">
        <f>SUM(F92:F95)</f>
        <v>275</v>
      </c>
      <c r="G91" s="866">
        <f>SUM(G92:G95)</f>
        <v>220</v>
      </c>
      <c r="H91" s="867">
        <f t="shared" si="22"/>
        <v>1231.9</v>
      </c>
      <c r="I91" s="864">
        <f>SUM(I92:I95)</f>
        <v>988.9999999999999</v>
      </c>
      <c r="J91" s="865">
        <f>SUM(J92:J95)</f>
        <v>170.9</v>
      </c>
      <c r="K91" s="865">
        <f>SUM(K92:K95)</f>
        <v>0</v>
      </c>
      <c r="L91" s="866">
        <f>SUM(L92:L95)</f>
        <v>0</v>
      </c>
      <c r="M91" s="867">
        <f t="shared" si="23"/>
        <v>1159.8999999999999</v>
      </c>
      <c r="N91" s="867">
        <f>SUM(N92:N95)</f>
        <v>0</v>
      </c>
      <c r="O91" s="867">
        <f>SUM(O92:O95)</f>
        <v>0</v>
      </c>
      <c r="P91" s="968">
        <f>SUM(P92:P95)</f>
        <v>0</v>
      </c>
      <c r="Q91" s="972">
        <f t="shared" si="18"/>
        <v>2391.8</v>
      </c>
      <c r="R91" s="972">
        <f t="shared" si="19"/>
        <v>3416.8999999999996</v>
      </c>
    </row>
    <row r="92" spans="1:18" ht="15">
      <c r="A92" s="868"/>
      <c r="B92" s="869" t="s">
        <v>509</v>
      </c>
      <c r="C92" s="870">
        <v>866.8</v>
      </c>
      <c r="D92" s="871">
        <v>18.6</v>
      </c>
      <c r="E92" s="872">
        <v>604.6</v>
      </c>
      <c r="F92" s="872">
        <v>232.5</v>
      </c>
      <c r="G92" s="873">
        <v>186</v>
      </c>
      <c r="H92" s="874">
        <f t="shared" si="22"/>
        <v>1041.7</v>
      </c>
      <c r="I92" s="871">
        <v>836.3</v>
      </c>
      <c r="J92" s="872">
        <v>144.5</v>
      </c>
      <c r="K92" s="872"/>
      <c r="L92" s="873"/>
      <c r="M92" s="874">
        <f t="shared" si="23"/>
        <v>980.8</v>
      </c>
      <c r="N92" s="874"/>
      <c r="O92" s="874"/>
      <c r="P92" s="969"/>
      <c r="Q92" s="972">
        <f t="shared" si="18"/>
        <v>2022.5</v>
      </c>
      <c r="R92" s="972">
        <f t="shared" si="19"/>
        <v>2889.3</v>
      </c>
    </row>
    <row r="93" spans="1:18" ht="15">
      <c r="A93" s="868"/>
      <c r="B93" s="875" t="s">
        <v>510</v>
      </c>
      <c r="C93" s="870"/>
      <c r="D93" s="871"/>
      <c r="E93" s="872"/>
      <c r="F93" s="872"/>
      <c r="G93" s="873"/>
      <c r="H93" s="874">
        <f t="shared" si="22"/>
        <v>0</v>
      </c>
      <c r="I93" s="871"/>
      <c r="J93" s="872"/>
      <c r="K93" s="872"/>
      <c r="L93" s="873"/>
      <c r="M93" s="874">
        <f t="shared" si="23"/>
        <v>0</v>
      </c>
      <c r="N93" s="874"/>
      <c r="O93" s="874"/>
      <c r="P93" s="969"/>
      <c r="Q93" s="972">
        <f t="shared" si="18"/>
        <v>0</v>
      </c>
      <c r="R93" s="972">
        <f t="shared" si="19"/>
        <v>0</v>
      </c>
    </row>
    <row r="94" spans="1:18" ht="15">
      <c r="A94" s="885"/>
      <c r="B94" s="877" t="s">
        <v>591</v>
      </c>
      <c r="C94" s="870">
        <v>102</v>
      </c>
      <c r="D94" s="878">
        <v>2.2</v>
      </c>
      <c r="E94" s="878">
        <v>71.1</v>
      </c>
      <c r="F94" s="878">
        <v>27.4</v>
      </c>
      <c r="G94" s="878">
        <v>21.9</v>
      </c>
      <c r="H94" s="874">
        <f t="shared" si="22"/>
        <v>122.6</v>
      </c>
      <c r="I94" s="878">
        <v>98.4</v>
      </c>
      <c r="J94" s="878">
        <v>17</v>
      </c>
      <c r="K94" s="878"/>
      <c r="L94" s="878"/>
      <c r="M94" s="874">
        <f t="shared" si="23"/>
        <v>115.4</v>
      </c>
      <c r="N94" s="879"/>
      <c r="O94" s="879"/>
      <c r="P94" s="970"/>
      <c r="Q94" s="972">
        <f t="shared" si="18"/>
        <v>238</v>
      </c>
      <c r="R94" s="972">
        <f t="shared" si="19"/>
        <v>340</v>
      </c>
    </row>
    <row r="95" spans="1:18" ht="15">
      <c r="A95" s="876"/>
      <c r="B95" s="877" t="s">
        <v>592</v>
      </c>
      <c r="C95" s="870">
        <v>56.3</v>
      </c>
      <c r="D95" s="878">
        <v>1.2</v>
      </c>
      <c r="E95" s="878">
        <v>39.2</v>
      </c>
      <c r="F95" s="878">
        <v>15.1</v>
      </c>
      <c r="G95" s="878">
        <v>12.1</v>
      </c>
      <c r="H95" s="874">
        <f t="shared" si="22"/>
        <v>67.60000000000001</v>
      </c>
      <c r="I95" s="878">
        <v>54.3</v>
      </c>
      <c r="J95" s="878">
        <v>9.4</v>
      </c>
      <c r="K95" s="878"/>
      <c r="L95" s="878"/>
      <c r="M95" s="874">
        <f t="shared" si="23"/>
        <v>63.699999999999996</v>
      </c>
      <c r="N95" s="879"/>
      <c r="O95" s="879"/>
      <c r="P95" s="970"/>
      <c r="Q95" s="972">
        <f t="shared" si="18"/>
        <v>131.3</v>
      </c>
      <c r="R95" s="972">
        <f t="shared" si="19"/>
        <v>187.6</v>
      </c>
    </row>
    <row r="96" spans="1:18" ht="24">
      <c r="A96" s="886" t="s">
        <v>539</v>
      </c>
      <c r="B96" s="855" t="s">
        <v>540</v>
      </c>
      <c r="C96" s="856">
        <f>SUM(C97:C100)</f>
        <v>11218.099999999999</v>
      </c>
      <c r="D96" s="857">
        <f aca="true" t="shared" si="26" ref="D96:P96">SUM(D97:D100)</f>
        <v>330</v>
      </c>
      <c r="E96" s="858">
        <f t="shared" si="26"/>
        <v>1969</v>
      </c>
      <c r="F96" s="858">
        <f t="shared" si="26"/>
        <v>1650</v>
      </c>
      <c r="G96" s="859">
        <f t="shared" si="26"/>
        <v>4642.9</v>
      </c>
      <c r="H96" s="860">
        <f t="shared" si="26"/>
        <v>8591.9</v>
      </c>
      <c r="I96" s="857">
        <f t="shared" si="26"/>
        <v>2701.7999999999997</v>
      </c>
      <c r="J96" s="858">
        <f t="shared" si="26"/>
        <v>0</v>
      </c>
      <c r="K96" s="858">
        <f t="shared" si="26"/>
        <v>0</v>
      </c>
      <c r="L96" s="859">
        <f t="shared" si="26"/>
        <v>0</v>
      </c>
      <c r="M96" s="860">
        <f t="shared" si="26"/>
        <v>2701.7999999999997</v>
      </c>
      <c r="N96" s="860">
        <f t="shared" si="26"/>
        <v>14.700000000000001</v>
      </c>
      <c r="O96" s="860">
        <f t="shared" si="26"/>
        <v>0</v>
      </c>
      <c r="P96" s="967">
        <f t="shared" si="26"/>
        <v>0</v>
      </c>
      <c r="Q96" s="972">
        <f t="shared" si="18"/>
        <v>11308.4</v>
      </c>
      <c r="R96" s="972">
        <f t="shared" si="19"/>
        <v>22526.5</v>
      </c>
    </row>
    <row r="97" spans="1:18" ht="15">
      <c r="A97" s="868"/>
      <c r="B97" s="869" t="s">
        <v>509</v>
      </c>
      <c r="C97" s="870">
        <v>9033.5</v>
      </c>
      <c r="D97" s="871">
        <v>265.7</v>
      </c>
      <c r="E97" s="872">
        <v>1585.6</v>
      </c>
      <c r="F97" s="872">
        <v>1328.7</v>
      </c>
      <c r="G97" s="873">
        <v>3738.7</v>
      </c>
      <c r="H97" s="874">
        <f>SUM(D97:G97)</f>
        <v>6918.7</v>
      </c>
      <c r="I97" s="871">
        <v>2175.6</v>
      </c>
      <c r="J97" s="872"/>
      <c r="K97" s="872"/>
      <c r="L97" s="873"/>
      <c r="M97" s="874">
        <f>SUM(I97:L97)</f>
        <v>2175.6</v>
      </c>
      <c r="N97" s="874">
        <v>11.8</v>
      </c>
      <c r="O97" s="874"/>
      <c r="P97" s="969"/>
      <c r="Q97" s="972">
        <f t="shared" si="18"/>
        <v>9106.099999999999</v>
      </c>
      <c r="R97" s="972">
        <f t="shared" si="19"/>
        <v>18139.6</v>
      </c>
    </row>
    <row r="98" spans="1:18" ht="15">
      <c r="A98" s="868"/>
      <c r="B98" s="875" t="s">
        <v>510</v>
      </c>
      <c r="C98" s="870"/>
      <c r="D98" s="871"/>
      <c r="E98" s="872"/>
      <c r="F98" s="872"/>
      <c r="G98" s="873"/>
      <c r="H98" s="874">
        <f>SUM(D98:G98)</f>
        <v>0</v>
      </c>
      <c r="I98" s="871"/>
      <c r="J98" s="872"/>
      <c r="K98" s="872"/>
      <c r="L98" s="873"/>
      <c r="M98" s="874">
        <f>SUM(I98:L98)</f>
        <v>0</v>
      </c>
      <c r="N98" s="874"/>
      <c r="O98" s="874"/>
      <c r="P98" s="969"/>
      <c r="Q98" s="972">
        <f t="shared" si="18"/>
        <v>0</v>
      </c>
      <c r="R98" s="972">
        <f t="shared" si="19"/>
        <v>0</v>
      </c>
    </row>
    <row r="99" spans="1:18" ht="15">
      <c r="A99" s="885"/>
      <c r="B99" s="877" t="s">
        <v>591</v>
      </c>
      <c r="C99" s="870">
        <v>1062.8</v>
      </c>
      <c r="D99" s="878">
        <v>31.3</v>
      </c>
      <c r="E99" s="878">
        <v>186.5</v>
      </c>
      <c r="F99" s="878">
        <v>156.3</v>
      </c>
      <c r="G99" s="878">
        <v>439.9</v>
      </c>
      <c r="H99" s="874">
        <f>SUM(D99:G99)</f>
        <v>814</v>
      </c>
      <c r="I99" s="878">
        <v>256</v>
      </c>
      <c r="J99" s="878"/>
      <c r="K99" s="878"/>
      <c r="L99" s="878"/>
      <c r="M99" s="874">
        <f>SUM(I99:L99)</f>
        <v>256</v>
      </c>
      <c r="N99" s="879">
        <v>1.4</v>
      </c>
      <c r="O99" s="879"/>
      <c r="P99" s="970"/>
      <c r="Q99" s="972">
        <f t="shared" si="18"/>
        <v>1071.4</v>
      </c>
      <c r="R99" s="972">
        <f t="shared" si="19"/>
        <v>2134.2000000000003</v>
      </c>
    </row>
    <row r="100" spans="1:18" ht="15">
      <c r="A100" s="876"/>
      <c r="B100" s="877" t="s">
        <v>592</v>
      </c>
      <c r="C100" s="870">
        <v>1121.8</v>
      </c>
      <c r="D100" s="878">
        <v>33</v>
      </c>
      <c r="E100" s="878">
        <v>196.9</v>
      </c>
      <c r="F100" s="878">
        <v>165</v>
      </c>
      <c r="G100" s="878">
        <v>464.3</v>
      </c>
      <c r="H100" s="874">
        <f>SUM(D100:G100)</f>
        <v>859.2</v>
      </c>
      <c r="I100" s="878">
        <v>270.2</v>
      </c>
      <c r="J100" s="878"/>
      <c r="K100" s="878"/>
      <c r="L100" s="878"/>
      <c r="M100" s="874">
        <f>SUM(I100:L100)</f>
        <v>270.2</v>
      </c>
      <c r="N100" s="879">
        <v>1.5</v>
      </c>
      <c r="O100" s="879"/>
      <c r="P100" s="970"/>
      <c r="Q100" s="972">
        <f t="shared" si="18"/>
        <v>1130.9</v>
      </c>
      <c r="R100" s="972">
        <f t="shared" si="19"/>
        <v>2252.7</v>
      </c>
    </row>
    <row r="101" spans="1:18" ht="36">
      <c r="A101" s="886" t="s">
        <v>551</v>
      </c>
      <c r="B101" s="855" t="s">
        <v>552</v>
      </c>
      <c r="C101" s="856">
        <f>SUM(C102:C105)</f>
        <v>0</v>
      </c>
      <c r="D101" s="857">
        <f aca="true" t="shared" si="27" ref="D101:P101">SUM(D102:D105)</f>
        <v>0</v>
      </c>
      <c r="E101" s="858">
        <f t="shared" si="27"/>
        <v>0</v>
      </c>
      <c r="F101" s="858">
        <f t="shared" si="27"/>
        <v>0</v>
      </c>
      <c r="G101" s="859">
        <f t="shared" si="27"/>
        <v>402</v>
      </c>
      <c r="H101" s="860">
        <f t="shared" si="27"/>
        <v>402</v>
      </c>
      <c r="I101" s="857">
        <f t="shared" si="27"/>
        <v>0</v>
      </c>
      <c r="J101" s="858">
        <f t="shared" si="27"/>
        <v>403</v>
      </c>
      <c r="K101" s="858">
        <f t="shared" si="27"/>
        <v>0</v>
      </c>
      <c r="L101" s="859">
        <f t="shared" si="27"/>
        <v>0</v>
      </c>
      <c r="M101" s="860">
        <f t="shared" si="27"/>
        <v>403</v>
      </c>
      <c r="N101" s="860">
        <f t="shared" si="27"/>
        <v>0</v>
      </c>
      <c r="O101" s="860">
        <f t="shared" si="27"/>
        <v>0</v>
      </c>
      <c r="P101" s="967">
        <f t="shared" si="27"/>
        <v>0</v>
      </c>
      <c r="Q101" s="972">
        <f t="shared" si="18"/>
        <v>805</v>
      </c>
      <c r="R101" s="972">
        <f t="shared" si="19"/>
        <v>805</v>
      </c>
    </row>
    <row r="102" spans="1:18" ht="15">
      <c r="A102" s="868"/>
      <c r="B102" s="869" t="s">
        <v>509</v>
      </c>
      <c r="C102" s="870"/>
      <c r="D102" s="871"/>
      <c r="E102" s="872"/>
      <c r="F102" s="872"/>
      <c r="G102" s="873">
        <v>270</v>
      </c>
      <c r="H102" s="874">
        <f>SUM(D102:G102)</f>
        <v>270</v>
      </c>
      <c r="I102" s="871"/>
      <c r="J102" s="872">
        <v>270</v>
      </c>
      <c r="K102" s="872"/>
      <c r="L102" s="873"/>
      <c r="M102" s="874">
        <f>SUM(I102:L102)</f>
        <v>270</v>
      </c>
      <c r="N102" s="874"/>
      <c r="O102" s="874"/>
      <c r="P102" s="969"/>
      <c r="Q102" s="972">
        <f t="shared" si="18"/>
        <v>540</v>
      </c>
      <c r="R102" s="972">
        <f t="shared" si="19"/>
        <v>540</v>
      </c>
    </row>
    <row r="103" spans="1:18" ht="15">
      <c r="A103" s="868"/>
      <c r="B103" s="875" t="s">
        <v>510</v>
      </c>
      <c r="C103" s="870"/>
      <c r="D103" s="871"/>
      <c r="E103" s="872"/>
      <c r="F103" s="872"/>
      <c r="G103" s="873"/>
      <c r="H103" s="874">
        <f>SUM(D103:G103)</f>
        <v>0</v>
      </c>
      <c r="I103" s="871"/>
      <c r="J103" s="872"/>
      <c r="K103" s="872"/>
      <c r="L103" s="873"/>
      <c r="M103" s="874">
        <f>SUM(I103:L103)</f>
        <v>0</v>
      </c>
      <c r="N103" s="874"/>
      <c r="O103" s="874"/>
      <c r="P103" s="969"/>
      <c r="Q103" s="972">
        <f t="shared" si="18"/>
        <v>0</v>
      </c>
      <c r="R103" s="972">
        <f t="shared" si="19"/>
        <v>0</v>
      </c>
    </row>
    <row r="104" spans="1:18" ht="15">
      <c r="A104" s="885"/>
      <c r="B104" s="877" t="s">
        <v>591</v>
      </c>
      <c r="C104" s="870"/>
      <c r="D104" s="878"/>
      <c r="E104" s="878"/>
      <c r="F104" s="878"/>
      <c r="G104" s="878"/>
      <c r="H104" s="874">
        <f>SUM(D104:G104)</f>
        <v>0</v>
      </c>
      <c r="I104" s="878"/>
      <c r="J104" s="878"/>
      <c r="K104" s="878"/>
      <c r="L104" s="878"/>
      <c r="M104" s="874">
        <f>SUM(I104:L104)</f>
        <v>0</v>
      </c>
      <c r="N104" s="879"/>
      <c r="O104" s="879"/>
      <c r="P104" s="970"/>
      <c r="Q104" s="972">
        <f t="shared" si="18"/>
        <v>0</v>
      </c>
      <c r="R104" s="972">
        <f t="shared" si="19"/>
        <v>0</v>
      </c>
    </row>
    <row r="105" spans="1:18" ht="15">
      <c r="A105" s="876"/>
      <c r="B105" s="877" t="s">
        <v>592</v>
      </c>
      <c r="C105" s="870"/>
      <c r="D105" s="878"/>
      <c r="E105" s="878"/>
      <c r="F105" s="878"/>
      <c r="G105" s="878">
        <v>132</v>
      </c>
      <c r="H105" s="874">
        <f>SUM(D105:G105)</f>
        <v>132</v>
      </c>
      <c r="I105" s="878"/>
      <c r="J105" s="878">
        <v>133</v>
      </c>
      <c r="K105" s="878"/>
      <c r="L105" s="878"/>
      <c r="M105" s="874">
        <f>SUM(I105:L105)</f>
        <v>133</v>
      </c>
      <c r="N105" s="879"/>
      <c r="O105" s="879"/>
      <c r="P105" s="970"/>
      <c r="Q105" s="972">
        <f t="shared" si="18"/>
        <v>265</v>
      </c>
      <c r="R105" s="972">
        <f t="shared" si="19"/>
        <v>265</v>
      </c>
    </row>
  </sheetData>
  <sheetProtection/>
  <mergeCells count="8">
    <mergeCell ref="Q3:Q4"/>
    <mergeCell ref="R3:R4"/>
    <mergeCell ref="C3:C4"/>
    <mergeCell ref="D3:H3"/>
    <mergeCell ref="I3:M3"/>
    <mergeCell ref="N3:N4"/>
    <mergeCell ref="O3:O4"/>
    <mergeCell ref="P3:P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9.140625" style="809" customWidth="1"/>
    <col min="2" max="2" width="34.7109375" style="809" bestFit="1" customWidth="1"/>
    <col min="3" max="3" width="12.7109375" style="809" bestFit="1" customWidth="1"/>
    <col min="4" max="16384" width="9.140625" style="809" customWidth="1"/>
  </cols>
  <sheetData>
    <row r="1" ht="15.75">
      <c r="B1" s="810" t="s">
        <v>604</v>
      </c>
    </row>
    <row r="2" ht="15.75" thickBot="1"/>
    <row r="3" spans="1:18" ht="15.75" thickBot="1">
      <c r="A3" s="811" t="s">
        <v>1</v>
      </c>
      <c r="B3" s="812" t="s">
        <v>587</v>
      </c>
      <c r="C3" s="1040" t="s">
        <v>42</v>
      </c>
      <c r="D3" s="1042">
        <v>2012</v>
      </c>
      <c r="E3" s="1043"/>
      <c r="F3" s="1043"/>
      <c r="G3" s="1043"/>
      <c r="H3" s="1044"/>
      <c r="I3" s="1042">
        <v>2013</v>
      </c>
      <c r="J3" s="1043"/>
      <c r="K3" s="1043"/>
      <c r="L3" s="1043"/>
      <c r="M3" s="1044"/>
      <c r="N3" s="1045">
        <v>2014</v>
      </c>
      <c r="O3" s="1045">
        <v>2015</v>
      </c>
      <c r="P3" s="1045">
        <v>2016</v>
      </c>
      <c r="Q3" s="1039" t="s">
        <v>606</v>
      </c>
      <c r="R3" s="1039" t="s">
        <v>578</v>
      </c>
    </row>
    <row r="4" spans="1:18" ht="15.75" thickBot="1">
      <c r="A4" s="813" t="s">
        <v>5</v>
      </c>
      <c r="B4" s="814" t="s">
        <v>6</v>
      </c>
      <c r="C4" s="1041"/>
      <c r="D4" s="815" t="s">
        <v>8</v>
      </c>
      <c r="E4" s="816" t="s">
        <v>9</v>
      </c>
      <c r="F4" s="816" t="s">
        <v>10</v>
      </c>
      <c r="G4" s="817" t="s">
        <v>11</v>
      </c>
      <c r="H4" s="818" t="s">
        <v>12</v>
      </c>
      <c r="I4" s="815" t="s">
        <v>8</v>
      </c>
      <c r="J4" s="816" t="s">
        <v>9</v>
      </c>
      <c r="K4" s="816" t="s">
        <v>10</v>
      </c>
      <c r="L4" s="817" t="s">
        <v>11</v>
      </c>
      <c r="M4" s="818" t="s">
        <v>12</v>
      </c>
      <c r="N4" s="1046"/>
      <c r="O4" s="1046"/>
      <c r="P4" s="1046"/>
      <c r="Q4" s="1039"/>
      <c r="R4" s="1039"/>
    </row>
    <row r="5" spans="1:18" ht="15">
      <c r="A5" s="819" t="s">
        <v>13</v>
      </c>
      <c r="B5" s="820" t="s">
        <v>14</v>
      </c>
      <c r="C5" s="821">
        <f>SUM(C6:C9)</f>
        <v>14066.500000000002</v>
      </c>
      <c r="D5" s="822">
        <f aca="true" t="shared" si="0" ref="D5:P5">SUM(D6:D9)</f>
        <v>1103.8</v>
      </c>
      <c r="E5" s="823">
        <f t="shared" si="0"/>
        <v>2348.1</v>
      </c>
      <c r="F5" s="823">
        <f t="shared" si="0"/>
        <v>1012.1999999999999</v>
      </c>
      <c r="G5" s="823">
        <f t="shared" si="0"/>
        <v>1822.7</v>
      </c>
      <c r="H5" s="824">
        <f t="shared" si="0"/>
        <v>6286.799999999999</v>
      </c>
      <c r="I5" s="822">
        <f t="shared" si="0"/>
        <v>0</v>
      </c>
      <c r="J5" s="823">
        <f t="shared" si="0"/>
        <v>29.300000000000004</v>
      </c>
      <c r="K5" s="823">
        <f t="shared" si="0"/>
        <v>10</v>
      </c>
      <c r="L5" s="825">
        <f t="shared" si="0"/>
        <v>143.7</v>
      </c>
      <c r="M5" s="824">
        <f t="shared" si="0"/>
        <v>182.99999999999997</v>
      </c>
      <c r="N5" s="824">
        <f t="shared" si="0"/>
        <v>0</v>
      </c>
      <c r="O5" s="824">
        <f t="shared" si="0"/>
        <v>0</v>
      </c>
      <c r="P5" s="824">
        <f t="shared" si="0"/>
        <v>0</v>
      </c>
      <c r="Q5" s="972">
        <f>H5+M5+N5+O5+P5</f>
        <v>6469.799999999999</v>
      </c>
      <c r="R5" s="972">
        <f>C5+H5+M5+N5+O5+P5</f>
        <v>20536.300000000003</v>
      </c>
    </row>
    <row r="6" spans="1:18" ht="15">
      <c r="A6" s="826" t="s">
        <v>15</v>
      </c>
      <c r="B6" s="827" t="s">
        <v>605</v>
      </c>
      <c r="C6" s="828"/>
      <c r="D6" s="829"/>
      <c r="E6" s="830"/>
      <c r="F6" s="830"/>
      <c r="G6" s="831"/>
      <c r="H6" s="832">
        <f>SUM(D6:G6)</f>
        <v>0</v>
      </c>
      <c r="I6" s="829"/>
      <c r="J6" s="830"/>
      <c r="K6" s="830"/>
      <c r="L6" s="831"/>
      <c r="M6" s="832">
        <f>SUM(I6:L6)</f>
        <v>0</v>
      </c>
      <c r="N6" s="832"/>
      <c r="O6" s="832"/>
      <c r="P6" s="832"/>
      <c r="Q6" s="972">
        <f aca="true" t="shared" si="1" ref="Q6:Q56">H6+M6+N6+O6+P6</f>
        <v>0</v>
      </c>
      <c r="R6" s="972">
        <f aca="true" t="shared" si="2" ref="R6:R56">C6+H6+M6+N6+O6+P6</f>
        <v>0</v>
      </c>
    </row>
    <row r="7" spans="1:18" ht="15">
      <c r="A7" s="826" t="s">
        <v>17</v>
      </c>
      <c r="B7" s="827" t="s">
        <v>563</v>
      </c>
      <c r="C7" s="828">
        <f aca="true" t="shared" si="3" ref="C7:G8">C13</f>
        <v>12737.000000000002</v>
      </c>
      <c r="D7" s="829">
        <f t="shared" si="3"/>
        <v>991.28178</v>
      </c>
      <c r="E7" s="830">
        <f t="shared" si="3"/>
        <v>2155.02171</v>
      </c>
      <c r="F7" s="830">
        <f t="shared" si="3"/>
        <v>940.4660899999999</v>
      </c>
      <c r="G7" s="831">
        <f t="shared" si="3"/>
        <v>1694.92873</v>
      </c>
      <c r="H7" s="832">
        <f>SUM(D7:G7)</f>
        <v>5781.69831</v>
      </c>
      <c r="I7" s="829">
        <f aca="true" t="shared" si="4" ref="I7:L8">I13</f>
        <v>0</v>
      </c>
      <c r="J7" s="830">
        <f t="shared" si="4"/>
        <v>26.721600000000002</v>
      </c>
      <c r="K7" s="830">
        <f t="shared" si="4"/>
        <v>9.288</v>
      </c>
      <c r="L7" s="831">
        <f t="shared" si="4"/>
        <v>133.62662999999998</v>
      </c>
      <c r="M7" s="832">
        <f>SUM(I7:L7)</f>
        <v>169.63622999999998</v>
      </c>
      <c r="N7" s="832">
        <f aca="true" t="shared" si="5" ref="N7:P8">N13</f>
        <v>0</v>
      </c>
      <c r="O7" s="832">
        <f t="shared" si="5"/>
        <v>0</v>
      </c>
      <c r="P7" s="832">
        <f t="shared" si="5"/>
        <v>0</v>
      </c>
      <c r="Q7" s="972">
        <f t="shared" si="1"/>
        <v>5951.33454</v>
      </c>
      <c r="R7" s="972">
        <f t="shared" si="2"/>
        <v>18688.33454</v>
      </c>
    </row>
    <row r="8" spans="1:18" ht="15">
      <c r="A8" s="826" t="s">
        <v>19</v>
      </c>
      <c r="B8" s="827" t="s">
        <v>510</v>
      </c>
      <c r="C8" s="828">
        <f t="shared" si="3"/>
        <v>1329.5</v>
      </c>
      <c r="D8" s="829">
        <f t="shared" si="3"/>
        <v>112.51822000000001</v>
      </c>
      <c r="E8" s="830">
        <f t="shared" si="3"/>
        <v>193.07828999999998</v>
      </c>
      <c r="F8" s="830">
        <f t="shared" si="3"/>
        <v>71.73391</v>
      </c>
      <c r="G8" s="831">
        <f t="shared" si="3"/>
        <v>127.77127</v>
      </c>
      <c r="H8" s="832">
        <f>SUM(D8:G8)</f>
        <v>505.10168999999996</v>
      </c>
      <c r="I8" s="829">
        <f t="shared" si="4"/>
        <v>0</v>
      </c>
      <c r="J8" s="830">
        <f t="shared" si="4"/>
        <v>2.5784000000000002</v>
      </c>
      <c r="K8" s="830">
        <f t="shared" si="4"/>
        <v>0.7120000000000001</v>
      </c>
      <c r="L8" s="831">
        <f t="shared" si="4"/>
        <v>10.07337</v>
      </c>
      <c r="M8" s="832">
        <f>SUM(I8:L8)</f>
        <v>13.36377</v>
      </c>
      <c r="N8" s="832">
        <f t="shared" si="5"/>
        <v>0</v>
      </c>
      <c r="O8" s="832">
        <f t="shared" si="5"/>
        <v>0</v>
      </c>
      <c r="P8" s="832">
        <f t="shared" si="5"/>
        <v>0</v>
      </c>
      <c r="Q8" s="972">
        <f t="shared" si="1"/>
        <v>518.46546</v>
      </c>
      <c r="R8" s="972">
        <f t="shared" si="2"/>
        <v>1847.96546</v>
      </c>
    </row>
    <row r="9" spans="1:18" ht="15.75" thickBot="1">
      <c r="A9" s="826" t="s">
        <v>21</v>
      </c>
      <c r="B9" s="834" t="s">
        <v>511</v>
      </c>
      <c r="C9" s="835"/>
      <c r="D9" s="836"/>
      <c r="E9" s="837"/>
      <c r="F9" s="837"/>
      <c r="G9" s="838"/>
      <c r="H9" s="832">
        <f>SUM(D9:G9)</f>
        <v>0</v>
      </c>
      <c r="I9" s="836"/>
      <c r="J9" s="837"/>
      <c r="K9" s="837"/>
      <c r="L9" s="838"/>
      <c r="M9" s="832">
        <f>SUM(I9:L9)</f>
        <v>0</v>
      </c>
      <c r="N9" s="839"/>
      <c r="O9" s="839"/>
      <c r="P9" s="839"/>
      <c r="Q9" s="972">
        <f t="shared" si="1"/>
        <v>0</v>
      </c>
      <c r="R9" s="972">
        <f t="shared" si="2"/>
        <v>0</v>
      </c>
    </row>
    <row r="10" spans="1:18" ht="15.75" thickBot="1">
      <c r="A10" s="840" t="s">
        <v>25</v>
      </c>
      <c r="B10" s="820" t="s">
        <v>31</v>
      </c>
      <c r="C10" s="841">
        <f>C15-C11</f>
        <v>0</v>
      </c>
      <c r="D10" s="842"/>
      <c r="E10" s="843"/>
      <c r="F10" s="843"/>
      <c r="G10" s="844"/>
      <c r="H10" s="845"/>
      <c r="I10" s="842"/>
      <c r="J10" s="843"/>
      <c r="K10" s="843"/>
      <c r="L10" s="844"/>
      <c r="M10" s="845"/>
      <c r="N10" s="845"/>
      <c r="O10" s="845"/>
      <c r="P10" s="845"/>
      <c r="Q10" s="972">
        <f t="shared" si="1"/>
        <v>0</v>
      </c>
      <c r="R10" s="972">
        <f t="shared" si="2"/>
        <v>0</v>
      </c>
    </row>
    <row r="11" spans="1:18" ht="15">
      <c r="A11" s="819" t="s">
        <v>512</v>
      </c>
      <c r="B11" s="820" t="s">
        <v>513</v>
      </c>
      <c r="C11" s="821">
        <f aca="true" t="shared" si="6" ref="C11:P11">SUM(C12:C14)</f>
        <v>14066.500000000002</v>
      </c>
      <c r="D11" s="822">
        <f t="shared" si="6"/>
        <v>1103.8</v>
      </c>
      <c r="E11" s="823">
        <f t="shared" si="6"/>
        <v>2348.1</v>
      </c>
      <c r="F11" s="823">
        <f t="shared" si="6"/>
        <v>1012.1999999999999</v>
      </c>
      <c r="G11" s="823">
        <f t="shared" si="6"/>
        <v>1822.7</v>
      </c>
      <c r="H11" s="824">
        <f t="shared" si="6"/>
        <v>6286.799999999999</v>
      </c>
      <c r="I11" s="822">
        <f t="shared" si="6"/>
        <v>0</v>
      </c>
      <c r="J11" s="823">
        <f t="shared" si="6"/>
        <v>29.300000000000004</v>
      </c>
      <c r="K11" s="823">
        <f t="shared" si="6"/>
        <v>10</v>
      </c>
      <c r="L11" s="825">
        <f t="shared" si="6"/>
        <v>143.7</v>
      </c>
      <c r="M11" s="824">
        <f t="shared" si="6"/>
        <v>182.99999999999997</v>
      </c>
      <c r="N11" s="824">
        <f t="shared" si="6"/>
        <v>0</v>
      </c>
      <c r="O11" s="824">
        <f t="shared" si="6"/>
        <v>0</v>
      </c>
      <c r="P11" s="824">
        <f t="shared" si="6"/>
        <v>0</v>
      </c>
      <c r="Q11" s="972">
        <f t="shared" si="1"/>
        <v>6469.799999999999</v>
      </c>
      <c r="R11" s="972">
        <f t="shared" si="2"/>
        <v>20536.300000000003</v>
      </c>
    </row>
    <row r="12" spans="1:18" ht="15">
      <c r="A12" s="826" t="s">
        <v>514</v>
      </c>
      <c r="B12" s="827" t="s">
        <v>605</v>
      </c>
      <c r="C12" s="828"/>
      <c r="D12" s="829"/>
      <c r="E12" s="830"/>
      <c r="F12" s="830"/>
      <c r="G12" s="831"/>
      <c r="H12" s="832"/>
      <c r="I12" s="829"/>
      <c r="J12" s="830"/>
      <c r="K12" s="830"/>
      <c r="L12" s="831"/>
      <c r="M12" s="832"/>
      <c r="N12" s="832"/>
      <c r="O12" s="832"/>
      <c r="P12" s="832"/>
      <c r="Q12" s="972">
        <f t="shared" si="1"/>
        <v>0</v>
      </c>
      <c r="R12" s="972">
        <f t="shared" si="2"/>
        <v>0</v>
      </c>
    </row>
    <row r="13" spans="1:18" ht="15">
      <c r="A13" s="826" t="s">
        <v>515</v>
      </c>
      <c r="B13" s="827" t="s">
        <v>563</v>
      </c>
      <c r="C13" s="828">
        <f>C17+C35+C49</f>
        <v>12737.000000000002</v>
      </c>
      <c r="D13" s="829">
        <f>D17+D35+D49</f>
        <v>991.28178</v>
      </c>
      <c r="E13" s="830">
        <f>E17+E35+E49</f>
        <v>2155.02171</v>
      </c>
      <c r="F13" s="830">
        <f>F17+F35+F49</f>
        <v>940.4660899999999</v>
      </c>
      <c r="G13" s="831">
        <f>G17+G35+G49</f>
        <v>1694.92873</v>
      </c>
      <c r="H13" s="832">
        <f>SUM(D13:G13)</f>
        <v>5781.69831</v>
      </c>
      <c r="I13" s="829">
        <f>I17+I35+I49</f>
        <v>0</v>
      </c>
      <c r="J13" s="830">
        <f>J17+J35+J49</f>
        <v>26.721600000000002</v>
      </c>
      <c r="K13" s="830">
        <f>K17+K35+K49</f>
        <v>9.288</v>
      </c>
      <c r="L13" s="831">
        <f>L17+L35+L49</f>
        <v>133.62662999999998</v>
      </c>
      <c r="M13" s="832">
        <f>SUM(I13:L13)</f>
        <v>169.63622999999998</v>
      </c>
      <c r="N13" s="832">
        <f>N17+N35+N49</f>
        <v>0</v>
      </c>
      <c r="O13" s="832">
        <f>O17+O35+O49</f>
        <v>0</v>
      </c>
      <c r="P13" s="832">
        <f>P17+P35+P49</f>
        <v>0</v>
      </c>
      <c r="Q13" s="972">
        <f t="shared" si="1"/>
        <v>5951.33454</v>
      </c>
      <c r="R13" s="972">
        <f t="shared" si="2"/>
        <v>18688.33454</v>
      </c>
    </row>
    <row r="14" spans="1:18" ht="15">
      <c r="A14" s="826" t="s">
        <v>516</v>
      </c>
      <c r="B14" s="827" t="s">
        <v>510</v>
      </c>
      <c r="C14" s="828">
        <f>C18+C36+C37+C50</f>
        <v>1329.5</v>
      </c>
      <c r="D14" s="829">
        <f>D18+D36+D37+D50</f>
        <v>112.51822000000001</v>
      </c>
      <c r="E14" s="830">
        <f>E18+E36+E37+E50</f>
        <v>193.07828999999998</v>
      </c>
      <c r="F14" s="830">
        <f>F18+F36+F37+F50</f>
        <v>71.73391</v>
      </c>
      <c r="G14" s="831">
        <f>G18+G36+G37+G50</f>
        <v>127.77127</v>
      </c>
      <c r="H14" s="832">
        <f>SUM(D14:G14)</f>
        <v>505.10168999999996</v>
      </c>
      <c r="I14" s="829">
        <f>I18+I36+I37+I50</f>
        <v>0</v>
      </c>
      <c r="J14" s="830">
        <f>J18+J36+J37+J50</f>
        <v>2.5784000000000002</v>
      </c>
      <c r="K14" s="830">
        <f>K18+K36+K37+K50</f>
        <v>0.7120000000000001</v>
      </c>
      <c r="L14" s="831">
        <f>L18+L36+L37+L50</f>
        <v>10.07337</v>
      </c>
      <c r="M14" s="832">
        <f>SUM(I14:L14)</f>
        <v>13.36377</v>
      </c>
      <c r="N14" s="832">
        <f>N18+N36+N37+N50</f>
        <v>0</v>
      </c>
      <c r="O14" s="832">
        <f>O18+O36+O37+O50</f>
        <v>0</v>
      </c>
      <c r="P14" s="832">
        <f>P18+P36+P37+P50</f>
        <v>0</v>
      </c>
      <c r="Q14" s="972">
        <f t="shared" si="1"/>
        <v>518.46546</v>
      </c>
      <c r="R14" s="972">
        <f t="shared" si="2"/>
        <v>1847.96546</v>
      </c>
    </row>
    <row r="15" spans="1:18" ht="15">
      <c r="A15" s="847" t="s">
        <v>518</v>
      </c>
      <c r="B15" s="848" t="s">
        <v>43</v>
      </c>
      <c r="C15" s="849">
        <f>C16+C34+C48</f>
        <v>14066.5</v>
      </c>
      <c r="D15" s="850">
        <f>D16+D34+D48</f>
        <v>1103.8000000000002</v>
      </c>
      <c r="E15" s="851">
        <f>E16+E34+E48</f>
        <v>2348.1000000000004</v>
      </c>
      <c r="F15" s="851">
        <f>F16+F34+F48</f>
        <v>1012.2</v>
      </c>
      <c r="G15" s="852">
        <f>G16+G34+G48</f>
        <v>1822.7</v>
      </c>
      <c r="H15" s="853">
        <f>SUM(D15:G15)</f>
        <v>6286.8</v>
      </c>
      <c r="I15" s="850">
        <f>I16+I34+I48</f>
        <v>0</v>
      </c>
      <c r="J15" s="851">
        <f>J16+J34+J48</f>
        <v>29.3</v>
      </c>
      <c r="K15" s="851">
        <f>K16+K34+K48</f>
        <v>10</v>
      </c>
      <c r="L15" s="852">
        <f>L16+L34+L48</f>
        <v>143.7</v>
      </c>
      <c r="M15" s="853">
        <f>SUM(I15:L15)</f>
        <v>183</v>
      </c>
      <c r="N15" s="853">
        <f>N16+N34+N48</f>
        <v>0</v>
      </c>
      <c r="O15" s="853">
        <f>O16+O34+O48</f>
        <v>0</v>
      </c>
      <c r="P15" s="853">
        <f>P16+P34+P48</f>
        <v>0</v>
      </c>
      <c r="Q15" s="972">
        <f t="shared" si="1"/>
        <v>6469.8</v>
      </c>
      <c r="R15" s="972">
        <f t="shared" si="2"/>
        <v>20536.3</v>
      </c>
    </row>
    <row r="16" spans="1:19" ht="41.25" customHeight="1">
      <c r="A16" s="854" t="s">
        <v>519</v>
      </c>
      <c r="B16" s="855" t="s">
        <v>561</v>
      </c>
      <c r="C16" s="856">
        <f>C19+C22+C25+C28+C31</f>
        <v>11710.5</v>
      </c>
      <c r="D16" s="857">
        <f>D19+D22+D25+D28+D31</f>
        <v>1023.9000000000001</v>
      </c>
      <c r="E16" s="858">
        <f aca="true" t="shared" si="7" ref="E16:P16">E19+E22+E25+E28+E31</f>
        <v>1547</v>
      </c>
      <c r="F16" s="858">
        <f t="shared" si="7"/>
        <v>0</v>
      </c>
      <c r="G16" s="859">
        <f t="shared" si="7"/>
        <v>0</v>
      </c>
      <c r="H16" s="860">
        <f t="shared" si="7"/>
        <v>2570.9</v>
      </c>
      <c r="I16" s="857">
        <f t="shared" si="7"/>
        <v>0</v>
      </c>
      <c r="J16" s="858">
        <f t="shared" si="7"/>
        <v>29.3</v>
      </c>
      <c r="K16" s="858">
        <f t="shared" si="7"/>
        <v>0</v>
      </c>
      <c r="L16" s="859">
        <f t="shared" si="7"/>
        <v>0</v>
      </c>
      <c r="M16" s="860">
        <f t="shared" si="7"/>
        <v>29.3</v>
      </c>
      <c r="N16" s="860">
        <f t="shared" si="7"/>
        <v>0</v>
      </c>
      <c r="O16" s="860">
        <f t="shared" si="7"/>
        <v>0</v>
      </c>
      <c r="P16" s="860">
        <f t="shared" si="7"/>
        <v>0</v>
      </c>
      <c r="Q16" s="972">
        <f t="shared" si="1"/>
        <v>2600.2000000000003</v>
      </c>
      <c r="R16" s="972">
        <f t="shared" si="2"/>
        <v>14310.699999999999</v>
      </c>
      <c r="S16" s="951"/>
    </row>
    <row r="17" spans="1:18" ht="15">
      <c r="A17" s="868"/>
      <c r="B17" s="952" t="s">
        <v>563</v>
      </c>
      <c r="C17" s="870">
        <f>C20+C23+C26+C29+C32</f>
        <v>10548.400000000001</v>
      </c>
      <c r="D17" s="871">
        <f>D20+D23+D26+D29+D32</f>
        <v>933.7968000000001</v>
      </c>
      <c r="E17" s="872">
        <f>E20+E23+E26+E29+E32</f>
        <v>1410.8640000000003</v>
      </c>
      <c r="F17" s="872">
        <f>F20+F23+F26+F29+F32</f>
        <v>0</v>
      </c>
      <c r="G17" s="873">
        <f>G20+G23+G26+G29+G32</f>
        <v>0</v>
      </c>
      <c r="H17" s="874">
        <f>SUM(D17:G17)</f>
        <v>2344.6608000000006</v>
      </c>
      <c r="I17" s="871">
        <f>I20+I23+I26+I29+I32</f>
        <v>0</v>
      </c>
      <c r="J17" s="872">
        <f>J20+J23+J26+J29+J32</f>
        <v>26.721600000000002</v>
      </c>
      <c r="K17" s="872">
        <f>K20+K23+K26+K29+K32</f>
        <v>0</v>
      </c>
      <c r="L17" s="873">
        <f>L20+L23+L26+L29+L32</f>
        <v>0</v>
      </c>
      <c r="M17" s="874">
        <f>SUM(I17:L17)</f>
        <v>26.721600000000002</v>
      </c>
      <c r="N17" s="874">
        <f>N20+N23+N26+N29+N32</f>
        <v>0</v>
      </c>
      <c r="O17" s="874">
        <f>O20+O23+O26+O29+O32</f>
        <v>0</v>
      </c>
      <c r="P17" s="874">
        <f>P20+P23+P26+P29+P32</f>
        <v>0</v>
      </c>
      <c r="Q17" s="972">
        <f t="shared" si="1"/>
        <v>2371.3824000000004</v>
      </c>
      <c r="R17" s="972">
        <f t="shared" si="2"/>
        <v>12919.782400000004</v>
      </c>
    </row>
    <row r="18" spans="1:18" ht="18" customHeight="1">
      <c r="A18" s="868"/>
      <c r="B18" s="953" t="s">
        <v>510</v>
      </c>
      <c r="C18" s="870">
        <f>C21+C24+C27+C30+C33</f>
        <v>1162.1</v>
      </c>
      <c r="D18" s="871">
        <f aca="true" t="shared" si="8" ref="D18:P18">D21+D24+D27+D30+D33</f>
        <v>90.10320000000002</v>
      </c>
      <c r="E18" s="872">
        <f t="shared" si="8"/>
        <v>136.136</v>
      </c>
      <c r="F18" s="872">
        <f t="shared" si="8"/>
        <v>0</v>
      </c>
      <c r="G18" s="873">
        <f t="shared" si="8"/>
        <v>0</v>
      </c>
      <c r="H18" s="874">
        <f t="shared" si="8"/>
        <v>226.2392</v>
      </c>
      <c r="I18" s="871">
        <f t="shared" si="8"/>
        <v>0</v>
      </c>
      <c r="J18" s="872">
        <f t="shared" si="8"/>
        <v>2.5784000000000002</v>
      </c>
      <c r="K18" s="872">
        <f t="shared" si="8"/>
        <v>0</v>
      </c>
      <c r="L18" s="873">
        <f t="shared" si="8"/>
        <v>0</v>
      </c>
      <c r="M18" s="874">
        <f t="shared" si="8"/>
        <v>2.5784000000000002</v>
      </c>
      <c r="N18" s="874">
        <f t="shared" si="8"/>
        <v>0</v>
      </c>
      <c r="O18" s="874">
        <f t="shared" si="8"/>
        <v>0</v>
      </c>
      <c r="P18" s="874">
        <f t="shared" si="8"/>
        <v>0</v>
      </c>
      <c r="Q18" s="972">
        <f t="shared" si="1"/>
        <v>228.8176</v>
      </c>
      <c r="R18" s="972">
        <f t="shared" si="2"/>
        <v>1390.9176</v>
      </c>
    </row>
    <row r="19" spans="1:18" ht="21">
      <c r="A19" s="861" t="s">
        <v>521</v>
      </c>
      <c r="B19" s="954" t="s">
        <v>562</v>
      </c>
      <c r="C19" s="863">
        <f>SUM(C20:C21)</f>
        <v>7750.7</v>
      </c>
      <c r="D19" s="864">
        <v>27</v>
      </c>
      <c r="E19" s="865"/>
      <c r="F19" s="865"/>
      <c r="G19" s="866"/>
      <c r="H19" s="867">
        <f aca="true" t="shared" si="9" ref="H19:H33">SUM(D19:G19)</f>
        <v>27</v>
      </c>
      <c r="I19" s="864"/>
      <c r="J19" s="865"/>
      <c r="K19" s="865"/>
      <c r="L19" s="866"/>
      <c r="M19" s="867">
        <f aca="true" t="shared" si="10" ref="M19:M33">SUM(I19:L19)</f>
        <v>0</v>
      </c>
      <c r="N19" s="867"/>
      <c r="O19" s="867"/>
      <c r="P19" s="867"/>
      <c r="Q19" s="972">
        <f t="shared" si="1"/>
        <v>27</v>
      </c>
      <c r="R19" s="972">
        <f t="shared" si="2"/>
        <v>7777.7</v>
      </c>
    </row>
    <row r="20" spans="1:18" ht="15">
      <c r="A20" s="868"/>
      <c r="B20" s="952" t="s">
        <v>563</v>
      </c>
      <c r="C20" s="870">
        <v>6945.2</v>
      </c>
      <c r="D20" s="871">
        <f>D19*91.2/100</f>
        <v>24.624000000000002</v>
      </c>
      <c r="E20" s="872">
        <f>E19*91.2/100</f>
        <v>0</v>
      </c>
      <c r="F20" s="872">
        <f>F19*91.2/100</f>
        <v>0</v>
      </c>
      <c r="G20" s="873">
        <f>G19*91.2/100</f>
        <v>0</v>
      </c>
      <c r="H20" s="874">
        <f t="shared" si="9"/>
        <v>24.624000000000002</v>
      </c>
      <c r="I20" s="871">
        <f>I19*91.2/100</f>
        <v>0</v>
      </c>
      <c r="J20" s="872">
        <f>J19*91.2/100</f>
        <v>0</v>
      </c>
      <c r="K20" s="872">
        <f>K19*91.2/100</f>
        <v>0</v>
      </c>
      <c r="L20" s="873">
        <f>L19*91.2/100</f>
        <v>0</v>
      </c>
      <c r="M20" s="874">
        <f t="shared" si="10"/>
        <v>0</v>
      </c>
      <c r="N20" s="874">
        <f>N19*91.2/100</f>
        <v>0</v>
      </c>
      <c r="O20" s="874">
        <f>O19*91.2/100</f>
        <v>0</v>
      </c>
      <c r="P20" s="874">
        <f>P19*91.2/100</f>
        <v>0</v>
      </c>
      <c r="Q20" s="972">
        <f t="shared" si="1"/>
        <v>24.624000000000002</v>
      </c>
      <c r="R20" s="972">
        <f t="shared" si="2"/>
        <v>6969.824</v>
      </c>
    </row>
    <row r="21" spans="1:18" ht="18" customHeight="1">
      <c r="A21" s="868"/>
      <c r="B21" s="953" t="s">
        <v>510</v>
      </c>
      <c r="C21" s="870">
        <v>805.5</v>
      </c>
      <c r="D21" s="871">
        <f>D19*8.8/100</f>
        <v>2.3760000000000003</v>
      </c>
      <c r="E21" s="872">
        <f>E19*8.8/100</f>
        <v>0</v>
      </c>
      <c r="F21" s="872">
        <f>F19*8.8/100</f>
        <v>0</v>
      </c>
      <c r="G21" s="873">
        <f>G19*8.8/100</f>
        <v>0</v>
      </c>
      <c r="H21" s="874">
        <f t="shared" si="9"/>
        <v>2.3760000000000003</v>
      </c>
      <c r="I21" s="871">
        <f>I19*8.8/100</f>
        <v>0</v>
      </c>
      <c r="J21" s="872">
        <f>J19*8.8/100</f>
        <v>0</v>
      </c>
      <c r="K21" s="872">
        <f>K19*8.8/100</f>
        <v>0</v>
      </c>
      <c r="L21" s="873">
        <f>L19*8.8/100</f>
        <v>0</v>
      </c>
      <c r="M21" s="874">
        <f t="shared" si="10"/>
        <v>0</v>
      </c>
      <c r="N21" s="874">
        <f>N19*8.8/100</f>
        <v>0</v>
      </c>
      <c r="O21" s="874">
        <f>O19*8.8/100</f>
        <v>0</v>
      </c>
      <c r="P21" s="874">
        <f>P19*8.8/100</f>
        <v>0</v>
      </c>
      <c r="Q21" s="972">
        <f t="shared" si="1"/>
        <v>2.3760000000000003</v>
      </c>
      <c r="R21" s="972">
        <f t="shared" si="2"/>
        <v>807.876</v>
      </c>
    </row>
    <row r="22" spans="1:18" ht="21">
      <c r="A22" s="861" t="s">
        <v>522</v>
      </c>
      <c r="B22" s="954" t="s">
        <v>564</v>
      </c>
      <c r="C22" s="863">
        <f>SUM(C23:C24)</f>
        <v>917</v>
      </c>
      <c r="D22" s="864">
        <v>596.6</v>
      </c>
      <c r="E22" s="865"/>
      <c r="F22" s="865"/>
      <c r="G22" s="866"/>
      <c r="H22" s="867">
        <f t="shared" si="9"/>
        <v>596.6</v>
      </c>
      <c r="I22" s="864"/>
      <c r="J22" s="865"/>
      <c r="K22" s="865"/>
      <c r="L22" s="866"/>
      <c r="M22" s="867">
        <f t="shared" si="10"/>
        <v>0</v>
      </c>
      <c r="N22" s="867"/>
      <c r="O22" s="867"/>
      <c r="P22" s="867"/>
      <c r="Q22" s="972">
        <f t="shared" si="1"/>
        <v>596.6</v>
      </c>
      <c r="R22" s="972">
        <f t="shared" si="2"/>
        <v>1513.6</v>
      </c>
    </row>
    <row r="23" spans="1:18" ht="15">
      <c r="A23" s="868"/>
      <c r="B23" s="952" t="s">
        <v>563</v>
      </c>
      <c r="C23" s="870">
        <v>837.7</v>
      </c>
      <c r="D23" s="871">
        <f>D22*91.2/100</f>
        <v>544.0992000000001</v>
      </c>
      <c r="E23" s="872">
        <f>E22*91.2/100</f>
        <v>0</v>
      </c>
      <c r="F23" s="872">
        <f>F22*91.2/100</f>
        <v>0</v>
      </c>
      <c r="G23" s="873">
        <f>G22*91.2/100</f>
        <v>0</v>
      </c>
      <c r="H23" s="874">
        <f t="shared" si="9"/>
        <v>544.0992000000001</v>
      </c>
      <c r="I23" s="871">
        <f>I22*91.2/100</f>
        <v>0</v>
      </c>
      <c r="J23" s="872">
        <f>J22*91.2/100</f>
        <v>0</v>
      </c>
      <c r="K23" s="872">
        <f>K22*91.2/100</f>
        <v>0</v>
      </c>
      <c r="L23" s="873">
        <f>L22*91.2/100</f>
        <v>0</v>
      </c>
      <c r="M23" s="874">
        <f t="shared" si="10"/>
        <v>0</v>
      </c>
      <c r="N23" s="874">
        <f>N22*91.2/100</f>
        <v>0</v>
      </c>
      <c r="O23" s="874">
        <f>O22*91.2/100</f>
        <v>0</v>
      </c>
      <c r="P23" s="874">
        <f>P22*91.2/100</f>
        <v>0</v>
      </c>
      <c r="Q23" s="972">
        <f t="shared" si="1"/>
        <v>544.0992000000001</v>
      </c>
      <c r="R23" s="972">
        <f t="shared" si="2"/>
        <v>1381.7992000000002</v>
      </c>
    </row>
    <row r="24" spans="1:18" ht="18" customHeight="1">
      <c r="A24" s="868"/>
      <c r="B24" s="953" t="s">
        <v>510</v>
      </c>
      <c r="C24" s="870">
        <v>79.3</v>
      </c>
      <c r="D24" s="871">
        <f>D22*8.8/100</f>
        <v>52.500800000000005</v>
      </c>
      <c r="E24" s="872">
        <f>E22*8.8/100</f>
        <v>0</v>
      </c>
      <c r="F24" s="872">
        <f>F22*8.8/100</f>
        <v>0</v>
      </c>
      <c r="G24" s="873">
        <f>G22*8.8/100</f>
        <v>0</v>
      </c>
      <c r="H24" s="874">
        <f t="shared" si="9"/>
        <v>52.500800000000005</v>
      </c>
      <c r="I24" s="871">
        <f>I22*8.8/100</f>
        <v>0</v>
      </c>
      <c r="J24" s="872">
        <f>J22*8.8/100</f>
        <v>0</v>
      </c>
      <c r="K24" s="872">
        <f>K22*8.8/100</f>
        <v>0</v>
      </c>
      <c r="L24" s="873">
        <f>L22*8.8/100</f>
        <v>0</v>
      </c>
      <c r="M24" s="874">
        <f t="shared" si="10"/>
        <v>0</v>
      </c>
      <c r="N24" s="874">
        <f>N22*8.8/100</f>
        <v>0</v>
      </c>
      <c r="O24" s="874">
        <f>O22*8.8/100</f>
        <v>0</v>
      </c>
      <c r="P24" s="874">
        <f>P22*8.8/100</f>
        <v>0</v>
      </c>
      <c r="Q24" s="972">
        <f t="shared" si="1"/>
        <v>52.500800000000005</v>
      </c>
      <c r="R24" s="972">
        <f t="shared" si="2"/>
        <v>131.8008</v>
      </c>
    </row>
    <row r="25" spans="1:18" ht="21">
      <c r="A25" s="861" t="s">
        <v>523</v>
      </c>
      <c r="B25" s="954" t="s">
        <v>565</v>
      </c>
      <c r="C25" s="863">
        <f>SUM(C26:C27)</f>
        <v>2715.2999999999997</v>
      </c>
      <c r="D25" s="864">
        <v>400.3</v>
      </c>
      <c r="E25" s="865">
        <v>1518</v>
      </c>
      <c r="F25" s="865"/>
      <c r="G25" s="866"/>
      <c r="H25" s="867">
        <f t="shared" si="9"/>
        <v>1918.3</v>
      </c>
      <c r="I25" s="864"/>
      <c r="J25" s="865"/>
      <c r="K25" s="865"/>
      <c r="L25" s="866"/>
      <c r="M25" s="867">
        <f t="shared" si="10"/>
        <v>0</v>
      </c>
      <c r="N25" s="867"/>
      <c r="O25" s="867"/>
      <c r="P25" s="867"/>
      <c r="Q25" s="972">
        <f t="shared" si="1"/>
        <v>1918.3</v>
      </c>
      <c r="R25" s="972">
        <f t="shared" si="2"/>
        <v>4633.599999999999</v>
      </c>
    </row>
    <row r="26" spans="1:18" ht="15">
      <c r="A26" s="868"/>
      <c r="B26" s="952" t="s">
        <v>563</v>
      </c>
      <c r="C26" s="870">
        <v>2468.6</v>
      </c>
      <c r="D26" s="871">
        <f>D25*91.2/100</f>
        <v>365.0736</v>
      </c>
      <c r="E26" s="872">
        <f>E25*91.2/100</f>
        <v>1384.4160000000002</v>
      </c>
      <c r="F26" s="872">
        <f>F25*91.2/100</f>
        <v>0</v>
      </c>
      <c r="G26" s="873">
        <f>G25*91.2/100</f>
        <v>0</v>
      </c>
      <c r="H26" s="874">
        <f t="shared" si="9"/>
        <v>1749.4896</v>
      </c>
      <c r="I26" s="871">
        <f>I25*91.2/100</f>
        <v>0</v>
      </c>
      <c r="J26" s="872">
        <f>J25*91.2/100</f>
        <v>0</v>
      </c>
      <c r="K26" s="872">
        <f>K25*91.2/100</f>
        <v>0</v>
      </c>
      <c r="L26" s="873">
        <f>L25*91.2/100</f>
        <v>0</v>
      </c>
      <c r="M26" s="874">
        <f t="shared" si="10"/>
        <v>0</v>
      </c>
      <c r="N26" s="874">
        <f>N25*91.2/100</f>
        <v>0</v>
      </c>
      <c r="O26" s="874">
        <f>O25*91.2/100</f>
        <v>0</v>
      </c>
      <c r="P26" s="874">
        <f>P25*91.2/100</f>
        <v>0</v>
      </c>
      <c r="Q26" s="972">
        <f t="shared" si="1"/>
        <v>1749.4896</v>
      </c>
      <c r="R26" s="972">
        <f t="shared" si="2"/>
        <v>4218.0896</v>
      </c>
    </row>
    <row r="27" spans="1:18" ht="18" customHeight="1">
      <c r="A27" s="868"/>
      <c r="B27" s="953" t="s">
        <v>510</v>
      </c>
      <c r="C27" s="870">
        <v>246.7</v>
      </c>
      <c r="D27" s="871">
        <f>D25*8.8/100</f>
        <v>35.226400000000005</v>
      </c>
      <c r="E27" s="872">
        <f>E25*8.8/100</f>
        <v>133.584</v>
      </c>
      <c r="F27" s="872">
        <f>F25*8.8/100</f>
        <v>0</v>
      </c>
      <c r="G27" s="873">
        <f>G25*8.8/100</f>
        <v>0</v>
      </c>
      <c r="H27" s="874">
        <f t="shared" si="9"/>
        <v>168.81040000000002</v>
      </c>
      <c r="I27" s="871">
        <f>I25*8.8/100</f>
        <v>0</v>
      </c>
      <c r="J27" s="872">
        <f>J25*8.8/100</f>
        <v>0</v>
      </c>
      <c r="K27" s="872">
        <f>K25*8.8/100</f>
        <v>0</v>
      </c>
      <c r="L27" s="873">
        <f>L25*8.8/100</f>
        <v>0</v>
      </c>
      <c r="M27" s="874">
        <f t="shared" si="10"/>
        <v>0</v>
      </c>
      <c r="N27" s="874">
        <f>N25*8.8/100</f>
        <v>0</v>
      </c>
      <c r="O27" s="874">
        <f>O25*8.8/100</f>
        <v>0</v>
      </c>
      <c r="P27" s="874">
        <f>P25*8.8/100</f>
        <v>0</v>
      </c>
      <c r="Q27" s="972">
        <f t="shared" si="1"/>
        <v>168.81040000000002</v>
      </c>
      <c r="R27" s="972">
        <f t="shared" si="2"/>
        <v>415.5104</v>
      </c>
    </row>
    <row r="28" spans="1:18" ht="21">
      <c r="A28" s="861" t="s">
        <v>525</v>
      </c>
      <c r="B28" s="955" t="s">
        <v>566</v>
      </c>
      <c r="C28" s="863">
        <f>SUM(C29:C30)</f>
        <v>234.79999999999998</v>
      </c>
      <c r="D28" s="864"/>
      <c r="E28" s="865">
        <v>29</v>
      </c>
      <c r="F28" s="865"/>
      <c r="G28" s="866"/>
      <c r="H28" s="867">
        <f t="shared" si="9"/>
        <v>29</v>
      </c>
      <c r="I28" s="864"/>
      <c r="J28" s="865">
        <v>19</v>
      </c>
      <c r="K28" s="865"/>
      <c r="L28" s="866"/>
      <c r="M28" s="867">
        <f t="shared" si="10"/>
        <v>19</v>
      </c>
      <c r="N28" s="867"/>
      <c r="O28" s="867"/>
      <c r="P28" s="867"/>
      <c r="Q28" s="972">
        <f t="shared" si="1"/>
        <v>48</v>
      </c>
      <c r="R28" s="972">
        <f t="shared" si="2"/>
        <v>282.79999999999995</v>
      </c>
    </row>
    <row r="29" spans="1:18" ht="15">
      <c r="A29" s="868"/>
      <c r="B29" s="952" t="s">
        <v>563</v>
      </c>
      <c r="C29" s="870">
        <v>213.2</v>
      </c>
      <c r="D29" s="871">
        <f>D28*91.2/100</f>
        <v>0</v>
      </c>
      <c r="E29" s="872">
        <f>E28*91.2/100</f>
        <v>26.448</v>
      </c>
      <c r="F29" s="872">
        <f>F28*91.2/100</f>
        <v>0</v>
      </c>
      <c r="G29" s="873">
        <f>G28*91.2/100</f>
        <v>0</v>
      </c>
      <c r="H29" s="874">
        <f t="shared" si="9"/>
        <v>26.448</v>
      </c>
      <c r="I29" s="871">
        <f>I28*91.2/100</f>
        <v>0</v>
      </c>
      <c r="J29" s="872">
        <f>J28*91.2/100</f>
        <v>17.328</v>
      </c>
      <c r="K29" s="872">
        <f>K28*91.2/100</f>
        <v>0</v>
      </c>
      <c r="L29" s="873">
        <f>L28*91.2/100</f>
        <v>0</v>
      </c>
      <c r="M29" s="874">
        <f t="shared" si="10"/>
        <v>17.328</v>
      </c>
      <c r="N29" s="874">
        <f>N28*91.2/100</f>
        <v>0</v>
      </c>
      <c r="O29" s="874">
        <f>O28*91.2/100</f>
        <v>0</v>
      </c>
      <c r="P29" s="874">
        <f>P28*91.2/100</f>
        <v>0</v>
      </c>
      <c r="Q29" s="972">
        <f t="shared" si="1"/>
        <v>43.775999999999996</v>
      </c>
      <c r="R29" s="972">
        <f t="shared" si="2"/>
        <v>256.976</v>
      </c>
    </row>
    <row r="30" spans="1:18" ht="18" customHeight="1">
      <c r="A30" s="868"/>
      <c r="B30" s="953" t="s">
        <v>510</v>
      </c>
      <c r="C30" s="870">
        <v>21.6</v>
      </c>
      <c r="D30" s="871">
        <f>D28*8.8/100</f>
        <v>0</v>
      </c>
      <c r="E30" s="872">
        <f>E28*8.8/100</f>
        <v>2.552</v>
      </c>
      <c r="F30" s="872">
        <f>F28*8.8/100</f>
        <v>0</v>
      </c>
      <c r="G30" s="873">
        <f>G28*8.8/100</f>
        <v>0</v>
      </c>
      <c r="H30" s="874">
        <f t="shared" si="9"/>
        <v>2.552</v>
      </c>
      <c r="I30" s="871">
        <f>I28*8.8/100</f>
        <v>0</v>
      </c>
      <c r="J30" s="872">
        <f>J28*8.8/100</f>
        <v>1.6720000000000002</v>
      </c>
      <c r="K30" s="872">
        <f>K28*8.8/100</f>
        <v>0</v>
      </c>
      <c r="L30" s="873">
        <f>L28*8.8/100</f>
        <v>0</v>
      </c>
      <c r="M30" s="874">
        <f t="shared" si="10"/>
        <v>1.6720000000000002</v>
      </c>
      <c r="N30" s="874">
        <f>N28*8.8/100</f>
        <v>0</v>
      </c>
      <c r="O30" s="874">
        <f>O28*8.8/100</f>
        <v>0</v>
      </c>
      <c r="P30" s="874">
        <f>P28*8.8/100</f>
        <v>0</v>
      </c>
      <c r="Q30" s="972">
        <f t="shared" si="1"/>
        <v>4.224</v>
      </c>
      <c r="R30" s="972">
        <f t="shared" si="2"/>
        <v>25.824</v>
      </c>
    </row>
    <row r="31" spans="1:18" ht="15">
      <c r="A31" s="861" t="s">
        <v>526</v>
      </c>
      <c r="B31" s="955" t="s">
        <v>567</v>
      </c>
      <c r="C31" s="863">
        <f>SUM(C32:C33)</f>
        <v>92.7</v>
      </c>
      <c r="D31" s="864"/>
      <c r="E31" s="865"/>
      <c r="F31" s="865"/>
      <c r="G31" s="866"/>
      <c r="H31" s="867">
        <f t="shared" si="9"/>
        <v>0</v>
      </c>
      <c r="I31" s="864"/>
      <c r="J31" s="865">
        <v>10.3</v>
      </c>
      <c r="K31" s="865"/>
      <c r="L31" s="866"/>
      <c r="M31" s="867">
        <f t="shared" si="10"/>
        <v>10.3</v>
      </c>
      <c r="N31" s="867"/>
      <c r="O31" s="867"/>
      <c r="P31" s="867"/>
      <c r="Q31" s="972">
        <f t="shared" si="1"/>
        <v>10.3</v>
      </c>
      <c r="R31" s="972">
        <f t="shared" si="2"/>
        <v>103</v>
      </c>
    </row>
    <row r="32" spans="1:18" ht="15">
      <c r="A32" s="868"/>
      <c r="B32" s="952" t="s">
        <v>563</v>
      </c>
      <c r="C32" s="870">
        <v>83.7</v>
      </c>
      <c r="D32" s="871">
        <f>D31*91.2/100</f>
        <v>0</v>
      </c>
      <c r="E32" s="872">
        <f>E31*91.2/100</f>
        <v>0</v>
      </c>
      <c r="F32" s="872">
        <f>F31*91.2/100</f>
        <v>0</v>
      </c>
      <c r="G32" s="873">
        <f>G31*91.2/100</f>
        <v>0</v>
      </c>
      <c r="H32" s="874">
        <f t="shared" si="9"/>
        <v>0</v>
      </c>
      <c r="I32" s="871">
        <f>I31*91.2/100</f>
        <v>0</v>
      </c>
      <c r="J32" s="872">
        <f>J31*91.2/100</f>
        <v>9.393600000000001</v>
      </c>
      <c r="K32" s="872">
        <f>K31*91.2/100</f>
        <v>0</v>
      </c>
      <c r="L32" s="873">
        <f>L31*91.2/100</f>
        <v>0</v>
      </c>
      <c r="M32" s="874">
        <f t="shared" si="10"/>
        <v>9.393600000000001</v>
      </c>
      <c r="N32" s="874">
        <f>N31*91.2/100</f>
        <v>0</v>
      </c>
      <c r="O32" s="874">
        <f>O31*91.2/100</f>
        <v>0</v>
      </c>
      <c r="P32" s="874">
        <f>P31*91.2/100</f>
        <v>0</v>
      </c>
      <c r="Q32" s="972">
        <f t="shared" si="1"/>
        <v>9.393600000000001</v>
      </c>
      <c r="R32" s="972">
        <f t="shared" si="2"/>
        <v>93.09360000000001</v>
      </c>
    </row>
    <row r="33" spans="1:18" ht="18" customHeight="1">
      <c r="A33" s="868"/>
      <c r="B33" s="953" t="s">
        <v>510</v>
      </c>
      <c r="C33" s="870">
        <v>9</v>
      </c>
      <c r="D33" s="871">
        <f>D31*8.8/100</f>
        <v>0</v>
      </c>
      <c r="E33" s="872">
        <f>E31*8.8/100</f>
        <v>0</v>
      </c>
      <c r="F33" s="872">
        <f>F31*8.8/100</f>
        <v>0</v>
      </c>
      <c r="G33" s="873">
        <f>G31*8.8/100</f>
        <v>0</v>
      </c>
      <c r="H33" s="874">
        <f t="shared" si="9"/>
        <v>0</v>
      </c>
      <c r="I33" s="871">
        <f>I31*8.8/100</f>
        <v>0</v>
      </c>
      <c r="J33" s="872">
        <f>J31*8.8/100</f>
        <v>0.9064000000000001</v>
      </c>
      <c r="K33" s="872">
        <f>K31*8.8/100</f>
        <v>0</v>
      </c>
      <c r="L33" s="873">
        <f>L31*8.8/100</f>
        <v>0</v>
      </c>
      <c r="M33" s="874">
        <f t="shared" si="10"/>
        <v>0.9064000000000001</v>
      </c>
      <c r="N33" s="874">
        <f>N31*8.8/100</f>
        <v>0</v>
      </c>
      <c r="O33" s="874">
        <f>O31*8.8/100</f>
        <v>0</v>
      </c>
      <c r="P33" s="874">
        <f>P31*8.8/100</f>
        <v>0</v>
      </c>
      <c r="Q33" s="972">
        <f t="shared" si="1"/>
        <v>0.9064000000000001</v>
      </c>
      <c r="R33" s="972">
        <f t="shared" si="2"/>
        <v>9.9064</v>
      </c>
    </row>
    <row r="34" spans="1:19" ht="36">
      <c r="A34" s="886" t="s">
        <v>533</v>
      </c>
      <c r="B34" s="956" t="s">
        <v>568</v>
      </c>
      <c r="C34" s="856">
        <f>C38+C42+C45</f>
        <v>1925.7</v>
      </c>
      <c r="D34" s="857">
        <f aca="true" t="shared" si="11" ref="D34:P34">D38+D42+D45</f>
        <v>69.7</v>
      </c>
      <c r="E34" s="858">
        <f t="shared" si="11"/>
        <v>713.8</v>
      </c>
      <c r="F34" s="858">
        <f t="shared" si="11"/>
        <v>707.9000000000001</v>
      </c>
      <c r="G34" s="859">
        <f t="shared" si="11"/>
        <v>0</v>
      </c>
      <c r="H34" s="860">
        <f t="shared" si="11"/>
        <v>1491.4</v>
      </c>
      <c r="I34" s="857">
        <f t="shared" si="11"/>
        <v>0</v>
      </c>
      <c r="J34" s="858">
        <f t="shared" si="11"/>
        <v>0</v>
      </c>
      <c r="K34" s="858">
        <f t="shared" si="11"/>
        <v>10</v>
      </c>
      <c r="L34" s="859">
        <f t="shared" si="11"/>
        <v>0</v>
      </c>
      <c r="M34" s="860">
        <f t="shared" si="11"/>
        <v>10</v>
      </c>
      <c r="N34" s="860">
        <f t="shared" si="11"/>
        <v>0</v>
      </c>
      <c r="O34" s="860">
        <f t="shared" si="11"/>
        <v>0</v>
      </c>
      <c r="P34" s="860">
        <f t="shared" si="11"/>
        <v>0</v>
      </c>
      <c r="Q34" s="972">
        <f t="shared" si="1"/>
        <v>1501.4</v>
      </c>
      <c r="R34" s="972">
        <f t="shared" si="2"/>
        <v>3427.1000000000004</v>
      </c>
      <c r="S34" s="846"/>
    </row>
    <row r="35" spans="1:18" ht="15">
      <c r="A35" s="868"/>
      <c r="B35" s="952" t="s">
        <v>563</v>
      </c>
      <c r="C35" s="870">
        <f>C39+C43+C46</f>
        <v>1788.5</v>
      </c>
      <c r="D35" s="871">
        <f aca="true" t="shared" si="12" ref="D35:G36">D39+D43+D46</f>
        <v>48</v>
      </c>
      <c r="E35" s="872">
        <f t="shared" si="12"/>
        <v>662.97744</v>
      </c>
      <c r="F35" s="872">
        <f t="shared" si="12"/>
        <v>657.49752</v>
      </c>
      <c r="G35" s="872">
        <f t="shared" si="12"/>
        <v>0</v>
      </c>
      <c r="H35" s="874">
        <f>SUM(D35:G35)</f>
        <v>1368.47496</v>
      </c>
      <c r="I35" s="872">
        <f aca="true" t="shared" si="13" ref="I35:L36">I39+I43+I46</f>
        <v>0</v>
      </c>
      <c r="J35" s="872">
        <f t="shared" si="13"/>
        <v>0</v>
      </c>
      <c r="K35" s="872">
        <f t="shared" si="13"/>
        <v>9.288</v>
      </c>
      <c r="L35" s="872">
        <f t="shared" si="13"/>
        <v>0</v>
      </c>
      <c r="M35" s="874">
        <f>SUM(I35:L35)</f>
        <v>9.288</v>
      </c>
      <c r="N35" s="874">
        <f aca="true" t="shared" si="14" ref="N35:P36">N39+N43+N46</f>
        <v>0</v>
      </c>
      <c r="O35" s="874">
        <f t="shared" si="14"/>
        <v>0</v>
      </c>
      <c r="P35" s="874">
        <f t="shared" si="14"/>
        <v>0</v>
      </c>
      <c r="Q35" s="973">
        <f t="shared" si="1"/>
        <v>1377.76296</v>
      </c>
      <c r="R35" s="972">
        <f t="shared" si="2"/>
        <v>3166.26296</v>
      </c>
    </row>
    <row r="36" spans="1:18" ht="15">
      <c r="A36" s="868"/>
      <c r="B36" s="953" t="s">
        <v>510</v>
      </c>
      <c r="C36" s="870">
        <f>C40+C44+C47</f>
        <v>137.2</v>
      </c>
      <c r="D36" s="871">
        <f t="shared" si="12"/>
        <v>3.7</v>
      </c>
      <c r="E36" s="872">
        <f t="shared" si="12"/>
        <v>50.822559999999996</v>
      </c>
      <c r="F36" s="872">
        <f t="shared" si="12"/>
        <v>50.40248</v>
      </c>
      <c r="G36" s="872">
        <f t="shared" si="12"/>
        <v>0</v>
      </c>
      <c r="H36" s="874">
        <f>SUM(D36:G36)</f>
        <v>104.92504</v>
      </c>
      <c r="I36" s="872">
        <f t="shared" si="13"/>
        <v>0</v>
      </c>
      <c r="J36" s="872">
        <f t="shared" si="13"/>
        <v>0</v>
      </c>
      <c r="K36" s="872">
        <f t="shared" si="13"/>
        <v>0.7120000000000001</v>
      </c>
      <c r="L36" s="872">
        <f t="shared" si="13"/>
        <v>0</v>
      </c>
      <c r="M36" s="874">
        <f>SUM(I36:L36)</f>
        <v>0.7120000000000001</v>
      </c>
      <c r="N36" s="874">
        <f t="shared" si="14"/>
        <v>0</v>
      </c>
      <c r="O36" s="874">
        <f t="shared" si="14"/>
        <v>0</v>
      </c>
      <c r="P36" s="874">
        <f t="shared" si="14"/>
        <v>0</v>
      </c>
      <c r="Q36" s="973">
        <f t="shared" si="1"/>
        <v>105.63704</v>
      </c>
      <c r="R36" s="972">
        <f t="shared" si="2"/>
        <v>242.83703999999997</v>
      </c>
    </row>
    <row r="37" spans="1:18" ht="15">
      <c r="A37" s="868"/>
      <c r="B37" s="953" t="s">
        <v>595</v>
      </c>
      <c r="C37" s="870">
        <f>C41</f>
        <v>0</v>
      </c>
      <c r="D37" s="871">
        <f>D41</f>
        <v>18</v>
      </c>
      <c r="E37" s="872">
        <f>E41</f>
        <v>0</v>
      </c>
      <c r="F37" s="872">
        <f>F41</f>
        <v>0</v>
      </c>
      <c r="G37" s="873">
        <f>G41</f>
        <v>0</v>
      </c>
      <c r="H37" s="874">
        <f>SUM(D37:G37)</f>
        <v>18</v>
      </c>
      <c r="I37" s="871">
        <f>I41</f>
        <v>0</v>
      </c>
      <c r="J37" s="872">
        <f>J41</f>
        <v>0</v>
      </c>
      <c r="K37" s="872">
        <f>K41</f>
        <v>0</v>
      </c>
      <c r="L37" s="873">
        <f>L41</f>
        <v>0</v>
      </c>
      <c r="M37" s="874">
        <f>SUM(I37:L37)</f>
        <v>0</v>
      </c>
      <c r="N37" s="874">
        <f>N41</f>
        <v>0</v>
      </c>
      <c r="O37" s="874">
        <f>O41</f>
        <v>0</v>
      </c>
      <c r="P37" s="874">
        <f>P41</f>
        <v>0</v>
      </c>
      <c r="Q37" s="973">
        <f t="shared" si="1"/>
        <v>18</v>
      </c>
      <c r="R37" s="972">
        <f t="shared" si="2"/>
        <v>18</v>
      </c>
    </row>
    <row r="38" spans="1:18" ht="25.5">
      <c r="A38" s="861" t="s">
        <v>535</v>
      </c>
      <c r="B38" s="958" t="s">
        <v>569</v>
      </c>
      <c r="C38" s="863">
        <f>SUM(C39:C40)</f>
        <v>1540.7</v>
      </c>
      <c r="D38" s="864">
        <f>SUM(D39:D41)</f>
        <v>69.7</v>
      </c>
      <c r="E38" s="865">
        <v>231.6</v>
      </c>
      <c r="F38" s="865">
        <v>490.3</v>
      </c>
      <c r="G38" s="866"/>
      <c r="H38" s="867">
        <f>SUM(H39:H41)</f>
        <v>791.6</v>
      </c>
      <c r="I38" s="864"/>
      <c r="J38" s="865"/>
      <c r="K38" s="865"/>
      <c r="L38" s="866"/>
      <c r="M38" s="867">
        <f aca="true" t="shared" si="15" ref="M38:M54">SUM(I38:L38)</f>
        <v>0</v>
      </c>
      <c r="N38" s="867"/>
      <c r="O38" s="867"/>
      <c r="P38" s="867"/>
      <c r="Q38" s="973">
        <f t="shared" si="1"/>
        <v>791.6</v>
      </c>
      <c r="R38" s="972">
        <f t="shared" si="2"/>
        <v>2332.3</v>
      </c>
    </row>
    <row r="39" spans="1:18" ht="15">
      <c r="A39" s="868"/>
      <c r="B39" s="952" t="s">
        <v>563</v>
      </c>
      <c r="C39" s="870">
        <v>1430</v>
      </c>
      <c r="D39" s="871">
        <v>48</v>
      </c>
      <c r="E39" s="872">
        <f>E38*92.88/100</f>
        <v>215.11007999999998</v>
      </c>
      <c r="F39" s="872">
        <f>F38*92.88/100</f>
        <v>455.39063999999996</v>
      </c>
      <c r="G39" s="872">
        <f>G38*92.88/100</f>
        <v>0</v>
      </c>
      <c r="H39" s="874">
        <f aca="true" t="shared" si="16" ref="H39:H47">SUM(D39:G39)</f>
        <v>718.50072</v>
      </c>
      <c r="I39" s="872">
        <f>I38*92.88/100</f>
        <v>0</v>
      </c>
      <c r="J39" s="872">
        <f>J38*92.88/100</f>
        <v>0</v>
      </c>
      <c r="K39" s="872">
        <f>K38*92.88/100</f>
        <v>0</v>
      </c>
      <c r="L39" s="872">
        <f>L38*92.88/100</f>
        <v>0</v>
      </c>
      <c r="M39" s="874">
        <f t="shared" si="15"/>
        <v>0</v>
      </c>
      <c r="N39" s="874">
        <f>N38*92.88/100</f>
        <v>0</v>
      </c>
      <c r="O39" s="874">
        <f>O38*92.88/100</f>
        <v>0</v>
      </c>
      <c r="P39" s="874">
        <f>P38*92.88/100</f>
        <v>0</v>
      </c>
      <c r="Q39" s="973">
        <f t="shared" si="1"/>
        <v>718.50072</v>
      </c>
      <c r="R39" s="972">
        <f t="shared" si="2"/>
        <v>2148.50072</v>
      </c>
    </row>
    <row r="40" spans="1:18" ht="15">
      <c r="A40" s="868"/>
      <c r="B40" s="953" t="s">
        <v>510</v>
      </c>
      <c r="C40" s="870">
        <v>110.7</v>
      </c>
      <c r="D40" s="871">
        <v>3.7</v>
      </c>
      <c r="E40" s="872">
        <f>E38*7.12/100</f>
        <v>16.489919999999998</v>
      </c>
      <c r="F40" s="872">
        <f>F38*7.12/100</f>
        <v>34.90936</v>
      </c>
      <c r="G40" s="872">
        <f>G38*7.12/100</f>
        <v>0</v>
      </c>
      <c r="H40" s="874">
        <f t="shared" si="16"/>
        <v>55.09927999999999</v>
      </c>
      <c r="I40" s="872">
        <f>I38*7.12/100</f>
        <v>0</v>
      </c>
      <c r="J40" s="872">
        <f>J38*7.12/100</f>
        <v>0</v>
      </c>
      <c r="K40" s="872">
        <f>K38*7.12/100</f>
        <v>0</v>
      </c>
      <c r="L40" s="872">
        <f>L38*7.12/100</f>
        <v>0</v>
      </c>
      <c r="M40" s="874">
        <f t="shared" si="15"/>
        <v>0</v>
      </c>
      <c r="N40" s="874">
        <f>N38*7.12/100</f>
        <v>0</v>
      </c>
      <c r="O40" s="874">
        <f>O38*7.12/100</f>
        <v>0</v>
      </c>
      <c r="P40" s="874">
        <f>P38*7.12/100</f>
        <v>0</v>
      </c>
      <c r="Q40" s="973">
        <f t="shared" si="1"/>
        <v>55.09927999999999</v>
      </c>
      <c r="R40" s="972">
        <f t="shared" si="2"/>
        <v>165.79928</v>
      </c>
    </row>
    <row r="41" spans="1:18" ht="15">
      <c r="A41" s="868"/>
      <c r="B41" s="953" t="s">
        <v>595</v>
      </c>
      <c r="C41" s="870"/>
      <c r="D41" s="871">
        <v>18</v>
      </c>
      <c r="E41" s="872"/>
      <c r="F41" s="872"/>
      <c r="G41" s="873"/>
      <c r="H41" s="874">
        <f t="shared" si="16"/>
        <v>18</v>
      </c>
      <c r="I41" s="871"/>
      <c r="J41" s="872"/>
      <c r="K41" s="872"/>
      <c r="L41" s="873"/>
      <c r="M41" s="874"/>
      <c r="N41" s="874"/>
      <c r="O41" s="874"/>
      <c r="P41" s="874"/>
      <c r="Q41" s="973">
        <f t="shared" si="1"/>
        <v>18</v>
      </c>
      <c r="R41" s="972">
        <f t="shared" si="2"/>
        <v>18</v>
      </c>
    </row>
    <row r="42" spans="1:18" ht="25.5">
      <c r="A42" s="861" t="s">
        <v>536</v>
      </c>
      <c r="B42" s="958" t="s">
        <v>571</v>
      </c>
      <c r="C42" s="863">
        <f>SUM(C43:C44)</f>
        <v>315.79999999999995</v>
      </c>
      <c r="D42" s="864"/>
      <c r="E42" s="865">
        <v>460.9</v>
      </c>
      <c r="F42" s="865">
        <v>183.9</v>
      </c>
      <c r="G42" s="866"/>
      <c r="H42" s="867">
        <f t="shared" si="16"/>
        <v>644.8</v>
      </c>
      <c r="I42" s="864"/>
      <c r="J42" s="865"/>
      <c r="K42" s="865"/>
      <c r="L42" s="866"/>
      <c r="M42" s="867">
        <f aca="true" t="shared" si="17" ref="M42:M47">SUM(I42:L42)</f>
        <v>0</v>
      </c>
      <c r="N42" s="867"/>
      <c r="O42" s="867"/>
      <c r="P42" s="867"/>
      <c r="Q42" s="973">
        <f t="shared" si="1"/>
        <v>644.8</v>
      </c>
      <c r="R42" s="972">
        <f t="shared" si="2"/>
        <v>960.5999999999999</v>
      </c>
    </row>
    <row r="43" spans="1:18" ht="15">
      <c r="A43" s="868"/>
      <c r="B43" s="952" t="s">
        <v>563</v>
      </c>
      <c r="C43" s="870">
        <v>294.4</v>
      </c>
      <c r="D43" s="872">
        <f>D42*92.88/100</f>
        <v>0</v>
      </c>
      <c r="E43" s="872">
        <f>E42*92.88/100</f>
        <v>428.0839199999999</v>
      </c>
      <c r="F43" s="872">
        <f>F42*92.88/100</f>
        <v>170.80632000000003</v>
      </c>
      <c r="G43" s="872">
        <f>G42*92.88/100</f>
        <v>0</v>
      </c>
      <c r="H43" s="874">
        <f t="shared" si="16"/>
        <v>598.89024</v>
      </c>
      <c r="I43" s="872">
        <f>I42*92.88/100</f>
        <v>0</v>
      </c>
      <c r="J43" s="872">
        <f>J42*92.88/100</f>
        <v>0</v>
      </c>
      <c r="K43" s="872">
        <f>K42*92.88/100</f>
        <v>0</v>
      </c>
      <c r="L43" s="872">
        <f>L42*92.88/100</f>
        <v>0</v>
      </c>
      <c r="M43" s="874">
        <f t="shared" si="17"/>
        <v>0</v>
      </c>
      <c r="N43" s="874">
        <f>N42*92.88/100</f>
        <v>0</v>
      </c>
      <c r="O43" s="874">
        <f>O42*92.88/100</f>
        <v>0</v>
      </c>
      <c r="P43" s="874">
        <f>P42*92.88/100</f>
        <v>0</v>
      </c>
      <c r="Q43" s="973">
        <f t="shared" si="1"/>
        <v>598.89024</v>
      </c>
      <c r="R43" s="972">
        <f t="shared" si="2"/>
        <v>893.2902399999999</v>
      </c>
    </row>
    <row r="44" spans="1:18" ht="15">
      <c r="A44" s="868"/>
      <c r="B44" s="953" t="s">
        <v>510</v>
      </c>
      <c r="C44" s="870">
        <v>21.4</v>
      </c>
      <c r="D44" s="872">
        <f>D42*7.12/100</f>
        <v>0</v>
      </c>
      <c r="E44" s="872">
        <f>E42*7.12/100</f>
        <v>32.81608</v>
      </c>
      <c r="F44" s="872">
        <f>F42*7.12/100</f>
        <v>13.09368</v>
      </c>
      <c r="G44" s="872">
        <f>G42*7.12/100</f>
        <v>0</v>
      </c>
      <c r="H44" s="874">
        <f t="shared" si="16"/>
        <v>45.90976</v>
      </c>
      <c r="I44" s="872">
        <f>I42*7.12/100</f>
        <v>0</v>
      </c>
      <c r="J44" s="872">
        <f>J42*7.12/100</f>
        <v>0</v>
      </c>
      <c r="K44" s="872">
        <f>K42*7.12/100</f>
        <v>0</v>
      </c>
      <c r="L44" s="872">
        <f>L42*7.12/100</f>
        <v>0</v>
      </c>
      <c r="M44" s="874">
        <f t="shared" si="17"/>
        <v>0</v>
      </c>
      <c r="N44" s="874">
        <f>N42*7.12/100</f>
        <v>0</v>
      </c>
      <c r="O44" s="874">
        <f>O42*7.12/100</f>
        <v>0</v>
      </c>
      <c r="P44" s="874">
        <f>P42*7.12/100</f>
        <v>0</v>
      </c>
      <c r="Q44" s="973">
        <f t="shared" si="1"/>
        <v>45.90976</v>
      </c>
      <c r="R44" s="972">
        <f t="shared" si="2"/>
        <v>67.30976</v>
      </c>
    </row>
    <row r="45" spans="1:18" ht="25.5">
      <c r="A45" s="861" t="s">
        <v>537</v>
      </c>
      <c r="B45" s="958" t="s">
        <v>570</v>
      </c>
      <c r="C45" s="863">
        <f>SUM(C46:C47)</f>
        <v>69.19999999999999</v>
      </c>
      <c r="D45" s="864"/>
      <c r="E45" s="865">
        <v>21.3</v>
      </c>
      <c r="F45" s="865">
        <v>33.7</v>
      </c>
      <c r="G45" s="866"/>
      <c r="H45" s="867">
        <f t="shared" si="16"/>
        <v>55</v>
      </c>
      <c r="I45" s="864"/>
      <c r="J45" s="865"/>
      <c r="K45" s="865">
        <v>10</v>
      </c>
      <c r="L45" s="866"/>
      <c r="M45" s="867">
        <f t="shared" si="17"/>
        <v>10</v>
      </c>
      <c r="N45" s="867"/>
      <c r="O45" s="867"/>
      <c r="P45" s="867"/>
      <c r="Q45" s="973">
        <f t="shared" si="1"/>
        <v>65</v>
      </c>
      <c r="R45" s="972">
        <f t="shared" si="2"/>
        <v>134.2</v>
      </c>
    </row>
    <row r="46" spans="1:18" ht="15">
      <c r="A46" s="868"/>
      <c r="B46" s="952" t="s">
        <v>509</v>
      </c>
      <c r="C46" s="870">
        <v>64.1</v>
      </c>
      <c r="D46" s="872">
        <f>D45*92.88/100</f>
        <v>0</v>
      </c>
      <c r="E46" s="872">
        <f>E45*92.88/100</f>
        <v>19.78344</v>
      </c>
      <c r="F46" s="872">
        <f>F45*92.88/100</f>
        <v>31.30056</v>
      </c>
      <c r="G46" s="872">
        <f>G45*92.88/100</f>
        <v>0</v>
      </c>
      <c r="H46" s="874">
        <f t="shared" si="16"/>
        <v>51.084</v>
      </c>
      <c r="I46" s="872">
        <f>I45*92.88/100</f>
        <v>0</v>
      </c>
      <c r="J46" s="872">
        <f>J45*92.88/100</f>
        <v>0</v>
      </c>
      <c r="K46" s="872">
        <f>K45*92.88/100</f>
        <v>9.288</v>
      </c>
      <c r="L46" s="872">
        <f>L45*92.88/100</f>
        <v>0</v>
      </c>
      <c r="M46" s="874">
        <f t="shared" si="17"/>
        <v>9.288</v>
      </c>
      <c r="N46" s="874"/>
      <c r="O46" s="874"/>
      <c r="P46" s="874"/>
      <c r="Q46" s="973">
        <f t="shared" si="1"/>
        <v>60.372</v>
      </c>
      <c r="R46" s="972">
        <f t="shared" si="2"/>
        <v>124.472</v>
      </c>
    </row>
    <row r="47" spans="1:18" ht="15">
      <c r="A47" s="868"/>
      <c r="B47" s="953" t="s">
        <v>510</v>
      </c>
      <c r="C47" s="870">
        <v>5.1</v>
      </c>
      <c r="D47" s="872">
        <f>D45*7.12/100</f>
        <v>0</v>
      </c>
      <c r="E47" s="872">
        <f>E45*7.12/100</f>
        <v>1.5165600000000001</v>
      </c>
      <c r="F47" s="872">
        <f>F45*7.12/100</f>
        <v>2.3994400000000002</v>
      </c>
      <c r="G47" s="872">
        <f>G45*7.12/100</f>
        <v>0</v>
      </c>
      <c r="H47" s="874">
        <f t="shared" si="16"/>
        <v>3.9160000000000004</v>
      </c>
      <c r="I47" s="872">
        <f>I45*7.12/100</f>
        <v>0</v>
      </c>
      <c r="J47" s="872">
        <f>J45*7.12/100</f>
        <v>0</v>
      </c>
      <c r="K47" s="872">
        <f>K45*7.12/100</f>
        <v>0.7120000000000001</v>
      </c>
      <c r="L47" s="872">
        <f>L45*7.12/100</f>
        <v>0</v>
      </c>
      <c r="M47" s="874">
        <f t="shared" si="17"/>
        <v>0.7120000000000001</v>
      </c>
      <c r="N47" s="874"/>
      <c r="O47" s="874"/>
      <c r="P47" s="874"/>
      <c r="Q47" s="973">
        <f t="shared" si="1"/>
        <v>4.628</v>
      </c>
      <c r="R47" s="972">
        <f t="shared" si="2"/>
        <v>9.728</v>
      </c>
    </row>
    <row r="48" spans="1:18" ht="24">
      <c r="A48" s="886" t="s">
        <v>539</v>
      </c>
      <c r="B48" s="956" t="s">
        <v>572</v>
      </c>
      <c r="C48" s="856">
        <f aca="true" t="shared" si="18" ref="C48:P48">SUM(C49:C50)</f>
        <v>430.29999999999995</v>
      </c>
      <c r="D48" s="857">
        <f t="shared" si="18"/>
        <v>10.2</v>
      </c>
      <c r="E48" s="858">
        <f t="shared" si="18"/>
        <v>87.3</v>
      </c>
      <c r="F48" s="858">
        <f t="shared" si="18"/>
        <v>304.29999999999995</v>
      </c>
      <c r="G48" s="859">
        <f t="shared" si="18"/>
        <v>1822.7</v>
      </c>
      <c r="H48" s="860">
        <f t="shared" si="18"/>
        <v>2224.5</v>
      </c>
      <c r="I48" s="857">
        <f t="shared" si="18"/>
        <v>0</v>
      </c>
      <c r="J48" s="858">
        <f t="shared" si="18"/>
        <v>0</v>
      </c>
      <c r="K48" s="858">
        <f t="shared" si="18"/>
        <v>0</v>
      </c>
      <c r="L48" s="859">
        <f t="shared" si="18"/>
        <v>143.7</v>
      </c>
      <c r="M48" s="860">
        <f t="shared" si="18"/>
        <v>143.7</v>
      </c>
      <c r="N48" s="860">
        <f t="shared" si="18"/>
        <v>0</v>
      </c>
      <c r="O48" s="860">
        <f t="shared" si="18"/>
        <v>0</v>
      </c>
      <c r="P48" s="860">
        <f t="shared" si="18"/>
        <v>0</v>
      </c>
      <c r="Q48" s="973">
        <f t="shared" si="1"/>
        <v>2368.2</v>
      </c>
      <c r="R48" s="972">
        <f t="shared" si="2"/>
        <v>2798.5</v>
      </c>
    </row>
    <row r="49" spans="1:18" ht="15">
      <c r="A49" s="868"/>
      <c r="B49" s="952" t="s">
        <v>563</v>
      </c>
      <c r="C49" s="870">
        <f aca="true" t="shared" si="19" ref="C49:G50">C52+C55</f>
        <v>400.09999999999997</v>
      </c>
      <c r="D49" s="871">
        <f t="shared" si="19"/>
        <v>9.48498</v>
      </c>
      <c r="E49" s="872">
        <f t="shared" si="19"/>
        <v>81.18027</v>
      </c>
      <c r="F49" s="872">
        <f t="shared" si="19"/>
        <v>282.96856999999994</v>
      </c>
      <c r="G49" s="873">
        <f t="shared" si="19"/>
        <v>1694.92873</v>
      </c>
      <c r="H49" s="874">
        <f aca="true" t="shared" si="20" ref="H49:H56">SUM(D49:G49)</f>
        <v>2068.56255</v>
      </c>
      <c r="I49" s="871">
        <f aca="true" t="shared" si="21" ref="I49:L50">I52+I55</f>
        <v>0</v>
      </c>
      <c r="J49" s="872">
        <f t="shared" si="21"/>
        <v>0</v>
      </c>
      <c r="K49" s="872">
        <f t="shared" si="21"/>
        <v>0</v>
      </c>
      <c r="L49" s="873">
        <f t="shared" si="21"/>
        <v>133.62662999999998</v>
      </c>
      <c r="M49" s="874">
        <f t="shared" si="15"/>
        <v>133.62662999999998</v>
      </c>
      <c r="N49" s="874">
        <f aca="true" t="shared" si="22" ref="N49:P50">N52+N55</f>
        <v>0</v>
      </c>
      <c r="O49" s="874">
        <f t="shared" si="22"/>
        <v>0</v>
      </c>
      <c r="P49" s="874">
        <f t="shared" si="22"/>
        <v>0</v>
      </c>
      <c r="Q49" s="973">
        <f t="shared" si="1"/>
        <v>2202.1891800000003</v>
      </c>
      <c r="R49" s="972">
        <f t="shared" si="2"/>
        <v>2602.2891799999998</v>
      </c>
    </row>
    <row r="50" spans="1:18" ht="15">
      <c r="A50" s="868"/>
      <c r="B50" s="953" t="s">
        <v>510</v>
      </c>
      <c r="C50" s="870">
        <f t="shared" si="19"/>
        <v>30.200000000000003</v>
      </c>
      <c r="D50" s="871">
        <f t="shared" si="19"/>
        <v>0.71502</v>
      </c>
      <c r="E50" s="872">
        <f t="shared" si="19"/>
        <v>6.119729999999999</v>
      </c>
      <c r="F50" s="872">
        <f t="shared" si="19"/>
        <v>21.33143</v>
      </c>
      <c r="G50" s="873">
        <f t="shared" si="19"/>
        <v>127.77127</v>
      </c>
      <c r="H50" s="874">
        <f t="shared" si="20"/>
        <v>155.93745</v>
      </c>
      <c r="I50" s="871">
        <f t="shared" si="21"/>
        <v>0</v>
      </c>
      <c r="J50" s="872">
        <f t="shared" si="21"/>
        <v>0</v>
      </c>
      <c r="K50" s="872">
        <f t="shared" si="21"/>
        <v>0</v>
      </c>
      <c r="L50" s="873">
        <f t="shared" si="21"/>
        <v>10.07337</v>
      </c>
      <c r="M50" s="874">
        <f t="shared" si="15"/>
        <v>10.07337</v>
      </c>
      <c r="N50" s="874">
        <f t="shared" si="22"/>
        <v>0</v>
      </c>
      <c r="O50" s="874">
        <f t="shared" si="22"/>
        <v>0</v>
      </c>
      <c r="P50" s="874">
        <f t="shared" si="22"/>
        <v>0</v>
      </c>
      <c r="Q50" s="973">
        <f t="shared" si="1"/>
        <v>166.01082000000002</v>
      </c>
      <c r="R50" s="972">
        <f t="shared" si="2"/>
        <v>196.21082</v>
      </c>
    </row>
    <row r="51" spans="1:18" ht="25.5">
      <c r="A51" s="861" t="s">
        <v>535</v>
      </c>
      <c r="B51" s="957" t="s">
        <v>572</v>
      </c>
      <c r="C51" s="863">
        <f>SUM(C52:C53)</f>
        <v>400</v>
      </c>
      <c r="D51" s="864">
        <v>3.7</v>
      </c>
      <c r="E51" s="865">
        <v>78.8</v>
      </c>
      <c r="F51" s="865">
        <v>294.3</v>
      </c>
      <c r="G51" s="866">
        <v>1767.4</v>
      </c>
      <c r="H51" s="867">
        <f t="shared" si="20"/>
        <v>2144.2000000000003</v>
      </c>
      <c r="I51" s="864"/>
      <c r="J51" s="865"/>
      <c r="K51" s="865"/>
      <c r="L51" s="866">
        <v>133.9</v>
      </c>
      <c r="M51" s="867">
        <f t="shared" si="15"/>
        <v>133.9</v>
      </c>
      <c r="N51" s="867"/>
      <c r="O51" s="867"/>
      <c r="P51" s="867"/>
      <c r="Q51" s="973">
        <f t="shared" si="1"/>
        <v>2278.1000000000004</v>
      </c>
      <c r="R51" s="972">
        <f t="shared" si="2"/>
        <v>2678.1000000000004</v>
      </c>
    </row>
    <row r="52" spans="1:18" ht="15">
      <c r="A52" s="868"/>
      <c r="B52" s="952" t="s">
        <v>563</v>
      </c>
      <c r="C52" s="870">
        <v>371.9</v>
      </c>
      <c r="D52" s="872">
        <f>D51*92.99/100</f>
        <v>3.44063</v>
      </c>
      <c r="E52" s="872">
        <f>E51*92.99/100</f>
        <v>73.27611999999999</v>
      </c>
      <c r="F52" s="872">
        <f>F51*92.99/100</f>
        <v>273.66956999999996</v>
      </c>
      <c r="G52" s="872">
        <f>G51*92.99/100</f>
        <v>1643.5052600000001</v>
      </c>
      <c r="H52" s="874">
        <f t="shared" si="20"/>
        <v>1993.89158</v>
      </c>
      <c r="I52" s="872">
        <f>I51*92.99/100</f>
        <v>0</v>
      </c>
      <c r="J52" s="872">
        <f>J51*92.99/100</f>
        <v>0</v>
      </c>
      <c r="K52" s="872">
        <f>K51*92.99/100</f>
        <v>0</v>
      </c>
      <c r="L52" s="872">
        <f>L51*92.99/100</f>
        <v>124.51360999999999</v>
      </c>
      <c r="M52" s="874">
        <f t="shared" si="15"/>
        <v>124.51360999999999</v>
      </c>
      <c r="N52" s="874">
        <f>N51*92.99/100</f>
        <v>0</v>
      </c>
      <c r="O52" s="874">
        <f>O51*92.99/100</f>
        <v>0</v>
      </c>
      <c r="P52" s="874">
        <f>P51*92.99/100</f>
        <v>0</v>
      </c>
      <c r="Q52" s="973">
        <f t="shared" si="1"/>
        <v>2118.40519</v>
      </c>
      <c r="R52" s="972">
        <f t="shared" si="2"/>
        <v>2490.30519</v>
      </c>
    </row>
    <row r="53" spans="1:18" ht="15">
      <c r="A53" s="868"/>
      <c r="B53" s="953" t="s">
        <v>510</v>
      </c>
      <c r="C53" s="870">
        <v>28.1</v>
      </c>
      <c r="D53" s="872">
        <f>D51*7.01/100</f>
        <v>0.25937</v>
      </c>
      <c r="E53" s="872">
        <f>E51*7.01/100</f>
        <v>5.523879999999999</v>
      </c>
      <c r="F53" s="872">
        <f>F51*7.01/100</f>
        <v>20.63043</v>
      </c>
      <c r="G53" s="872">
        <f>G51*7.01/100</f>
        <v>123.89474</v>
      </c>
      <c r="H53" s="874">
        <f t="shared" si="20"/>
        <v>150.30842</v>
      </c>
      <c r="I53" s="872">
        <f>I51*7.01/100</f>
        <v>0</v>
      </c>
      <c r="J53" s="872">
        <f>J51*7.01/100</f>
        <v>0</v>
      </c>
      <c r="K53" s="872">
        <f>K51*7.01/100</f>
        <v>0</v>
      </c>
      <c r="L53" s="872">
        <f>L51*7.01/100</f>
        <v>9.38639</v>
      </c>
      <c r="M53" s="874">
        <f t="shared" si="15"/>
        <v>9.38639</v>
      </c>
      <c r="N53" s="874">
        <f>N51*7.01/100</f>
        <v>0</v>
      </c>
      <c r="O53" s="874">
        <f>O51*7.01/100</f>
        <v>0</v>
      </c>
      <c r="P53" s="874">
        <f>P51*7.01/100</f>
        <v>0</v>
      </c>
      <c r="Q53" s="973">
        <f t="shared" si="1"/>
        <v>159.69481000000002</v>
      </c>
      <c r="R53" s="972">
        <f t="shared" si="2"/>
        <v>187.79481</v>
      </c>
    </row>
    <row r="54" spans="1:18" ht="25.5">
      <c r="A54" s="861" t="s">
        <v>536</v>
      </c>
      <c r="B54" s="957" t="s">
        <v>570</v>
      </c>
      <c r="C54" s="863">
        <f>SUM(C55:C56)</f>
        <v>30.3</v>
      </c>
      <c r="D54" s="864">
        <v>6.5</v>
      </c>
      <c r="E54" s="865">
        <v>8.5</v>
      </c>
      <c r="F54" s="865">
        <v>10</v>
      </c>
      <c r="G54" s="866">
        <v>55.3</v>
      </c>
      <c r="H54" s="867">
        <f t="shared" si="20"/>
        <v>80.3</v>
      </c>
      <c r="I54" s="864"/>
      <c r="J54" s="865"/>
      <c r="K54" s="865"/>
      <c r="L54" s="866">
        <v>9.8</v>
      </c>
      <c r="M54" s="867">
        <f t="shared" si="15"/>
        <v>9.8</v>
      </c>
      <c r="N54" s="867"/>
      <c r="O54" s="867"/>
      <c r="P54" s="867"/>
      <c r="Q54" s="973">
        <f t="shared" si="1"/>
        <v>90.1</v>
      </c>
      <c r="R54" s="972">
        <f t="shared" si="2"/>
        <v>120.39999999999999</v>
      </c>
    </row>
    <row r="55" spans="1:18" ht="15">
      <c r="A55" s="868"/>
      <c r="B55" s="952" t="s">
        <v>509</v>
      </c>
      <c r="C55" s="870">
        <v>28.2</v>
      </c>
      <c r="D55" s="872">
        <f>D54*92.99/100</f>
        <v>6.04435</v>
      </c>
      <c r="E55" s="872">
        <f>E54*92.99/100</f>
        <v>7.90415</v>
      </c>
      <c r="F55" s="872">
        <f>F54*92.99/100</f>
        <v>9.299</v>
      </c>
      <c r="G55" s="872">
        <f>G54*92.99/100</f>
        <v>51.423469999999995</v>
      </c>
      <c r="H55" s="874">
        <f t="shared" si="20"/>
        <v>74.67097</v>
      </c>
      <c r="I55" s="872">
        <f>I54*92.99/100</f>
        <v>0</v>
      </c>
      <c r="J55" s="872">
        <f>J54*92.99/100</f>
        <v>0</v>
      </c>
      <c r="K55" s="872">
        <f>K54*92.99/100</f>
        <v>0</v>
      </c>
      <c r="L55" s="872">
        <f>L54*92.99/100</f>
        <v>9.11302</v>
      </c>
      <c r="M55" s="874">
        <f>SUM(I55:L55)</f>
        <v>9.11302</v>
      </c>
      <c r="N55" s="874">
        <f>N54*92.99/100</f>
        <v>0</v>
      </c>
      <c r="O55" s="874">
        <f>O54*92.99/100</f>
        <v>0</v>
      </c>
      <c r="P55" s="874">
        <f>P54*92.99/100</f>
        <v>0</v>
      </c>
      <c r="Q55" s="973">
        <f t="shared" si="1"/>
        <v>83.78399</v>
      </c>
      <c r="R55" s="972">
        <f t="shared" si="2"/>
        <v>111.98399</v>
      </c>
    </row>
    <row r="56" spans="1:18" ht="15">
      <c r="A56" s="868"/>
      <c r="B56" s="953" t="s">
        <v>510</v>
      </c>
      <c r="C56" s="870">
        <v>2.1</v>
      </c>
      <c r="D56" s="872">
        <f>D54*7.01/100</f>
        <v>0.45565</v>
      </c>
      <c r="E56" s="872">
        <f>E54*7.01/100</f>
        <v>0.59585</v>
      </c>
      <c r="F56" s="872">
        <f>F54*7.01/100</f>
        <v>0.701</v>
      </c>
      <c r="G56" s="872">
        <f>G54*7.01/100</f>
        <v>3.87653</v>
      </c>
      <c r="H56" s="874">
        <f t="shared" si="20"/>
        <v>5.62903</v>
      </c>
      <c r="I56" s="872">
        <f>I54*7.01/100</f>
        <v>0</v>
      </c>
      <c r="J56" s="872">
        <f>J54*7.01/100</f>
        <v>0</v>
      </c>
      <c r="K56" s="872">
        <f>K54*7.01/100</f>
        <v>0</v>
      </c>
      <c r="L56" s="872">
        <f>L54*7.01/100</f>
        <v>0.68698</v>
      </c>
      <c r="M56" s="874">
        <f>SUM(I56:L56)</f>
        <v>0.68698</v>
      </c>
      <c r="N56" s="874">
        <f>N54*7.01/100</f>
        <v>0</v>
      </c>
      <c r="O56" s="874">
        <f>O54*7.01/100</f>
        <v>0</v>
      </c>
      <c r="P56" s="874">
        <f>P54*7.01/100</f>
        <v>0</v>
      </c>
      <c r="Q56" s="973">
        <f t="shared" si="1"/>
        <v>6.31601</v>
      </c>
      <c r="R56" s="972">
        <f t="shared" si="2"/>
        <v>8.41601</v>
      </c>
    </row>
  </sheetData>
  <sheetProtection/>
  <mergeCells count="8">
    <mergeCell ref="Q3:Q4"/>
    <mergeCell ref="R3:R4"/>
    <mergeCell ref="C3:C4"/>
    <mergeCell ref="D3:H3"/>
    <mergeCell ref="I3:M3"/>
    <mergeCell ref="N3:N4"/>
    <mergeCell ref="O3:O4"/>
    <mergeCell ref="P3:P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3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7.8515625" style="896" customWidth="1"/>
    <col min="2" max="2" width="38.8515625" style="896" customWidth="1"/>
    <col min="3" max="16384" width="9.140625" style="896" customWidth="1"/>
  </cols>
  <sheetData>
    <row r="2" ht="15.75">
      <c r="B2" s="898" t="s">
        <v>555</v>
      </c>
    </row>
    <row r="3" ht="13.5" thickBot="1"/>
    <row r="4" spans="1:16" s="897" customFormat="1" ht="15.75" customHeight="1" thickBot="1">
      <c r="A4" s="811" t="s">
        <v>1</v>
      </c>
      <c r="B4" s="812" t="s">
        <v>554</v>
      </c>
      <c r="C4" s="1042">
        <v>2012</v>
      </c>
      <c r="D4" s="1043"/>
      <c r="E4" s="1043"/>
      <c r="F4" s="1043"/>
      <c r="G4" s="1044"/>
      <c r="H4" s="1042">
        <v>2013</v>
      </c>
      <c r="I4" s="1043"/>
      <c r="J4" s="1043"/>
      <c r="K4" s="1043"/>
      <c r="L4" s="1044"/>
      <c r="M4" s="1045">
        <v>2014</v>
      </c>
      <c r="N4" s="1045">
        <v>2015</v>
      </c>
      <c r="O4" s="1047">
        <v>2016</v>
      </c>
      <c r="P4" s="1049" t="s">
        <v>12</v>
      </c>
    </row>
    <row r="5" spans="1:16" s="897" customFormat="1" ht="15.75" thickBot="1">
      <c r="A5" s="904" t="s">
        <v>5</v>
      </c>
      <c r="B5" s="899"/>
      <c r="C5" s="900" t="s">
        <v>8</v>
      </c>
      <c r="D5" s="901" t="s">
        <v>9</v>
      </c>
      <c r="E5" s="901" t="s">
        <v>10</v>
      </c>
      <c r="F5" s="902" t="s">
        <v>11</v>
      </c>
      <c r="G5" s="903" t="s">
        <v>12</v>
      </c>
      <c r="H5" s="900" t="s">
        <v>8</v>
      </c>
      <c r="I5" s="901" t="s">
        <v>9</v>
      </c>
      <c r="J5" s="901" t="s">
        <v>10</v>
      </c>
      <c r="K5" s="902" t="s">
        <v>11</v>
      </c>
      <c r="L5" s="903" t="s">
        <v>12</v>
      </c>
      <c r="M5" s="1051"/>
      <c r="N5" s="1051"/>
      <c r="O5" s="1052"/>
      <c r="P5" s="1050"/>
    </row>
    <row r="6" spans="1:16" s="897" customFormat="1" ht="15">
      <c r="A6" s="943"/>
      <c r="B6" s="944" t="s">
        <v>558</v>
      </c>
      <c r="C6" s="945">
        <f>SUM(C7:C15)</f>
        <v>0</v>
      </c>
      <c r="D6" s="946">
        <f aca="true" t="shared" si="0" ref="D6:O6">SUM(D7:D15)</f>
        <v>2093.1000000000004</v>
      </c>
      <c r="E6" s="946">
        <f t="shared" si="0"/>
        <v>4089.4</v>
      </c>
      <c r="F6" s="946">
        <f t="shared" si="0"/>
        <v>3712.8</v>
      </c>
      <c r="G6" s="947">
        <f>SUM(C6:F6)</f>
        <v>9895.3</v>
      </c>
      <c r="H6" s="945">
        <f t="shared" si="0"/>
        <v>1167</v>
      </c>
      <c r="I6" s="946">
        <f t="shared" si="0"/>
        <v>1042.8</v>
      </c>
      <c r="J6" s="946">
        <f t="shared" si="0"/>
        <v>3586.3</v>
      </c>
      <c r="K6" s="946">
        <f t="shared" si="0"/>
        <v>650</v>
      </c>
      <c r="L6" s="947">
        <f>SUM(H6:K6)</f>
        <v>6446.1</v>
      </c>
      <c r="M6" s="948">
        <f t="shared" si="0"/>
        <v>0</v>
      </c>
      <c r="N6" s="949">
        <f t="shared" si="0"/>
        <v>0</v>
      </c>
      <c r="O6" s="948">
        <f t="shared" si="0"/>
        <v>0</v>
      </c>
      <c r="P6" s="950">
        <f>G6+L6+M6+N6+O6</f>
        <v>16341.4</v>
      </c>
    </row>
    <row r="7" spans="1:16" ht="25.5">
      <c r="A7" s="905"/>
      <c r="B7" s="906" t="s">
        <v>130</v>
      </c>
      <c r="C7" s="916"/>
      <c r="D7" s="917"/>
      <c r="E7" s="917"/>
      <c r="F7" s="917">
        <v>800</v>
      </c>
      <c r="G7" s="918">
        <f>SUM(C7:F7)</f>
        <v>800</v>
      </c>
      <c r="H7" s="916"/>
      <c r="I7" s="917"/>
      <c r="J7" s="917">
        <v>700</v>
      </c>
      <c r="K7" s="917"/>
      <c r="L7" s="918">
        <f>SUM(H7:K7)</f>
        <v>700</v>
      </c>
      <c r="M7" s="919"/>
      <c r="N7" s="920"/>
      <c r="O7" s="919"/>
      <c r="P7" s="926">
        <f>G7+L7+M7+N7+O7</f>
        <v>1500</v>
      </c>
    </row>
    <row r="8" spans="1:16" ht="25.5">
      <c r="A8" s="905"/>
      <c r="B8" s="906" t="s">
        <v>506</v>
      </c>
      <c r="C8" s="916"/>
      <c r="D8" s="917"/>
      <c r="E8" s="917"/>
      <c r="F8" s="917">
        <v>1100</v>
      </c>
      <c r="G8" s="918">
        <f>SUM(C8:F8)</f>
        <v>1100</v>
      </c>
      <c r="H8" s="916"/>
      <c r="I8" s="917"/>
      <c r="J8" s="917">
        <v>1100</v>
      </c>
      <c r="K8" s="917"/>
      <c r="L8" s="918">
        <f>SUM(H8:K8)</f>
        <v>1100</v>
      </c>
      <c r="M8" s="919"/>
      <c r="N8" s="920"/>
      <c r="O8" s="919"/>
      <c r="P8" s="926">
        <f aca="true" t="shared" si="1" ref="P8:P19">G8+L8+M8+N8+O8</f>
        <v>2200</v>
      </c>
    </row>
    <row r="9" spans="1:16" ht="38.25">
      <c r="A9" s="905"/>
      <c r="B9" s="906" t="s">
        <v>124</v>
      </c>
      <c r="C9" s="916"/>
      <c r="D9" s="917"/>
      <c r="E9" s="917">
        <v>1222</v>
      </c>
      <c r="F9" s="917"/>
      <c r="G9" s="918">
        <f>SUM(C9:F9)</f>
        <v>1222</v>
      </c>
      <c r="H9" s="916"/>
      <c r="I9" s="917"/>
      <c r="J9" s="917"/>
      <c r="K9" s="917"/>
      <c r="L9" s="918">
        <f>SUM(H9:K9)</f>
        <v>0</v>
      </c>
      <c r="M9" s="919"/>
      <c r="N9" s="920"/>
      <c r="O9" s="919"/>
      <c r="P9" s="926">
        <f t="shared" si="1"/>
        <v>1222</v>
      </c>
    </row>
    <row r="10" spans="1:16" ht="25.5">
      <c r="A10" s="905"/>
      <c r="B10" s="906" t="s">
        <v>298</v>
      </c>
      <c r="C10" s="916"/>
      <c r="D10" s="917">
        <v>1000</v>
      </c>
      <c r="E10" s="917">
        <v>1500</v>
      </c>
      <c r="F10" s="917">
        <v>500</v>
      </c>
      <c r="G10" s="918">
        <f>SUM(C10:F10)</f>
        <v>3000</v>
      </c>
      <c r="H10" s="916"/>
      <c r="I10" s="917"/>
      <c r="J10" s="917"/>
      <c r="K10" s="917"/>
      <c r="L10" s="918">
        <f aca="true" t="shared" si="2" ref="L10:L19">SUM(H10:K10)</f>
        <v>0</v>
      </c>
      <c r="M10" s="919"/>
      <c r="N10" s="920"/>
      <c r="O10" s="919"/>
      <c r="P10" s="926">
        <f t="shared" si="1"/>
        <v>3000</v>
      </c>
    </row>
    <row r="11" spans="1:16" ht="12.75">
      <c r="A11" s="905"/>
      <c r="B11" s="906" t="s">
        <v>323</v>
      </c>
      <c r="C11" s="916"/>
      <c r="D11" s="917"/>
      <c r="E11" s="917"/>
      <c r="F11" s="917"/>
      <c r="G11" s="918">
        <v>0</v>
      </c>
      <c r="H11" s="916"/>
      <c r="I11" s="917">
        <v>100</v>
      </c>
      <c r="J11" s="917">
        <v>250</v>
      </c>
      <c r="K11" s="917">
        <v>150</v>
      </c>
      <c r="L11" s="918">
        <f t="shared" si="2"/>
        <v>500</v>
      </c>
      <c r="M11" s="919"/>
      <c r="N11" s="920"/>
      <c r="O11" s="919"/>
      <c r="P11" s="926">
        <f t="shared" si="1"/>
        <v>500</v>
      </c>
    </row>
    <row r="12" spans="1:16" ht="25.5">
      <c r="A12" s="905"/>
      <c r="B12" s="906" t="s">
        <v>182</v>
      </c>
      <c r="C12" s="916"/>
      <c r="D12" s="917"/>
      <c r="E12" s="917"/>
      <c r="F12" s="917"/>
      <c r="G12" s="918">
        <v>0</v>
      </c>
      <c r="H12" s="916">
        <v>200</v>
      </c>
      <c r="I12" s="917">
        <v>230</v>
      </c>
      <c r="J12" s="917">
        <v>200</v>
      </c>
      <c r="K12" s="917">
        <v>300</v>
      </c>
      <c r="L12" s="918">
        <f t="shared" si="2"/>
        <v>930</v>
      </c>
      <c r="M12" s="919"/>
      <c r="N12" s="920"/>
      <c r="O12" s="919"/>
      <c r="P12" s="926">
        <f t="shared" si="1"/>
        <v>930</v>
      </c>
    </row>
    <row r="13" spans="1:16" ht="25.5">
      <c r="A13" s="905"/>
      <c r="B13" s="906" t="s">
        <v>502</v>
      </c>
      <c r="C13" s="916"/>
      <c r="D13" s="917"/>
      <c r="E13" s="917"/>
      <c r="F13" s="917"/>
      <c r="G13" s="918">
        <v>0</v>
      </c>
      <c r="H13" s="916">
        <v>100</v>
      </c>
      <c r="I13" s="917">
        <v>100</v>
      </c>
      <c r="J13" s="917">
        <v>100</v>
      </c>
      <c r="K13" s="917">
        <v>100</v>
      </c>
      <c r="L13" s="918">
        <f t="shared" si="2"/>
        <v>400</v>
      </c>
      <c r="M13" s="919"/>
      <c r="N13" s="920"/>
      <c r="O13" s="919"/>
      <c r="P13" s="926">
        <f t="shared" si="1"/>
        <v>400</v>
      </c>
    </row>
    <row r="14" spans="1:16" ht="16.5" customHeight="1">
      <c r="A14" s="905"/>
      <c r="B14" s="907" t="s">
        <v>556</v>
      </c>
      <c r="C14" s="937">
        <v>0</v>
      </c>
      <c r="D14" s="938">
        <v>0</v>
      </c>
      <c r="E14" s="938">
        <v>1000</v>
      </c>
      <c r="F14" s="938">
        <v>50</v>
      </c>
      <c r="G14" s="923">
        <f>SUM(C14:F14)</f>
        <v>1050</v>
      </c>
      <c r="H14" s="937">
        <v>0</v>
      </c>
      <c r="I14" s="938">
        <v>0</v>
      </c>
      <c r="J14" s="938">
        <v>1000</v>
      </c>
      <c r="K14" s="938">
        <v>100</v>
      </c>
      <c r="L14" s="923">
        <f>SUM(H14:K14)</f>
        <v>1100</v>
      </c>
      <c r="M14" s="939"/>
      <c r="N14" s="940"/>
      <c r="O14" s="939"/>
      <c r="P14" s="926">
        <f t="shared" si="1"/>
        <v>2150</v>
      </c>
    </row>
    <row r="15" spans="1:16" ht="25.5">
      <c r="A15" s="914"/>
      <c r="B15" s="915" t="s">
        <v>557</v>
      </c>
      <c r="C15" s="921">
        <f>SUM(C16:C19)</f>
        <v>0</v>
      </c>
      <c r="D15" s="922">
        <f aca="true" t="shared" si="3" ref="D15:O15">SUM(D16:D19)</f>
        <v>1093.1000000000001</v>
      </c>
      <c r="E15" s="922">
        <f t="shared" si="3"/>
        <v>367.4</v>
      </c>
      <c r="F15" s="922">
        <f t="shared" si="3"/>
        <v>1262.8</v>
      </c>
      <c r="G15" s="923">
        <f t="shared" si="3"/>
        <v>2723.3</v>
      </c>
      <c r="H15" s="921">
        <f t="shared" si="3"/>
        <v>867</v>
      </c>
      <c r="I15" s="922">
        <f t="shared" si="3"/>
        <v>612.8</v>
      </c>
      <c r="J15" s="922">
        <f t="shared" si="3"/>
        <v>236.3</v>
      </c>
      <c r="K15" s="922">
        <f t="shared" si="3"/>
        <v>0</v>
      </c>
      <c r="L15" s="923">
        <f t="shared" si="3"/>
        <v>1716.1</v>
      </c>
      <c r="M15" s="924">
        <f t="shared" si="3"/>
        <v>0</v>
      </c>
      <c r="N15" s="925">
        <f t="shared" si="3"/>
        <v>0</v>
      </c>
      <c r="O15" s="924">
        <f t="shared" si="3"/>
        <v>0</v>
      </c>
      <c r="P15" s="926">
        <f t="shared" si="1"/>
        <v>4439.4</v>
      </c>
    </row>
    <row r="16" spans="1:16" s="910" customFormat="1" ht="25.5">
      <c r="A16" s="908"/>
      <c r="B16" s="909" t="s">
        <v>520</v>
      </c>
      <c r="C16" s="927"/>
      <c r="D16" s="928">
        <f>'Investic.projektai'!E23+'Investic.projektai'!E25+'Investic.projektai'!E30+'Investic.projektai'!E32+'Investic.projektai'!E37+'Investic.projektai'!E39+'Investic.projektai'!E44+'Investic.projektai'!E46+'Investic.projektai'!E51+'Investic.projektai'!E53+'Investic.projektai'!E58+'Investic.projektai'!E60+'Investic.projektai'!E65+'Investic.projektai'!E67+'Investic.projektai'!E72+'Investic.projektai'!E74</f>
        <v>633.2</v>
      </c>
      <c r="E16" s="928">
        <f>'Investic.projektai'!F23+'Investic.projektai'!F25+'Investic.projektai'!F30+'Investic.projektai'!F32+'Investic.projektai'!F37+'Investic.projektai'!F39+'Investic.projektai'!F44+'Investic.projektai'!F46+'Investic.projektai'!F51+'Investic.projektai'!F53+'Investic.projektai'!F58+'Investic.projektai'!F60+'Investic.projektai'!F65+'Investic.projektai'!F67+'Investic.projektai'!F72+'Investic.projektai'!F74</f>
        <v>0</v>
      </c>
      <c r="F16" s="928">
        <f>'Investic.projektai'!G23+'Investic.projektai'!G25+'Investic.projektai'!G30+'Investic.projektai'!G32+'Investic.projektai'!G37+'Investic.projektai'!G39+'Investic.projektai'!G44+'Investic.projektai'!G46+'Investic.projektai'!G51+'Investic.projektai'!G53+'Investic.projektai'!G58+'Investic.projektai'!G60+'Investic.projektai'!G65+'Investic.projektai'!G67+'Investic.projektai'!G72+'Investic.projektai'!G74</f>
        <v>469.7</v>
      </c>
      <c r="G16" s="929">
        <f>SUM(C16:F16)</f>
        <v>1102.9</v>
      </c>
      <c r="H16" s="927">
        <f>'Investic.projektai'!I23+'Investic.projektai'!I25+'Investic.projektai'!I30+'Investic.projektai'!I32+'Investic.projektai'!I37+'Investic.projektai'!I39+'Investic.projektai'!I44+'Investic.projektai'!I46+'Investic.projektai'!I51+'Investic.projektai'!I53+'Investic.projektai'!I58+'Investic.projektai'!I60+'Investic.projektai'!I65+'Investic.projektai'!I67+'Investic.projektai'!I72+'Investic.projektai'!I74</f>
        <v>0</v>
      </c>
      <c r="I16" s="928">
        <f>'Investic.projektai'!J23+'Investic.projektai'!J25+'Investic.projektai'!J30+'Investic.projektai'!J32+'Investic.projektai'!J37+'Investic.projektai'!J39+'Investic.projektai'!J44+'Investic.projektai'!J46+'Investic.projektai'!J51+'Investic.projektai'!J53+'Investic.projektai'!J58+'Investic.projektai'!J60+'Investic.projektai'!J65+'Investic.projektai'!J67+'Investic.projektai'!J72+'Investic.projektai'!J74</f>
        <v>381</v>
      </c>
      <c r="J16" s="928">
        <f>'Investic.projektai'!K23+'Investic.projektai'!K25+'Investic.projektai'!K30+'Investic.projektai'!K32+'Investic.projektai'!K37+'Investic.projektai'!K39+'Investic.projektai'!K44+'Investic.projektai'!K46+'Investic.projektai'!K51+'Investic.projektai'!K53+'Investic.projektai'!K58+'Investic.projektai'!K60+'Investic.projektai'!K65+'Investic.projektai'!K67+'Investic.projektai'!K72+'Investic.projektai'!K74</f>
        <v>236.3</v>
      </c>
      <c r="K16" s="928">
        <f>'Investic.projektai'!L23+'Investic.projektai'!L25+'Investic.projektai'!L30+'Investic.projektai'!L32+'Investic.projektai'!L37+'Investic.projektai'!L39+'Investic.projektai'!L44+'Investic.projektai'!L46+'Investic.projektai'!L51+'Investic.projektai'!L53+'Investic.projektai'!L58+'Investic.projektai'!L60+'Investic.projektai'!L65+'Investic.projektai'!L67+'Investic.projektai'!L72+'Investic.projektai'!L74</f>
        <v>0</v>
      </c>
      <c r="L16" s="929">
        <f t="shared" si="2"/>
        <v>617.3</v>
      </c>
      <c r="M16" s="930"/>
      <c r="N16" s="931"/>
      <c r="O16" s="930"/>
      <c r="P16" s="941">
        <f t="shared" si="1"/>
        <v>1720.2</v>
      </c>
    </row>
    <row r="17" spans="1:16" s="910" customFormat="1" ht="13.5">
      <c r="A17" s="908"/>
      <c r="B17" s="911" t="s">
        <v>534</v>
      </c>
      <c r="C17" s="927"/>
      <c r="D17" s="928">
        <f>'Investic.projektai'!E80+'Investic.projektai'!E85+'Investic.projektai'!E90+'Investic.projektai'!E95</f>
        <v>263</v>
      </c>
      <c r="E17" s="928">
        <f>'Investic.projektai'!F80+'Investic.projektai'!F85+'Investic.projektai'!F90+'Investic.projektai'!F95</f>
        <v>202.39999999999998</v>
      </c>
      <c r="F17" s="928">
        <f>'Investic.projektai'!G80+'Investic.projektai'!G85+'Investic.projektai'!G90+'Investic.projektai'!G95</f>
        <v>196.79999999999998</v>
      </c>
      <c r="G17" s="929">
        <f>SUM(C17:F17)</f>
        <v>662.1999999999999</v>
      </c>
      <c r="H17" s="927">
        <f>'Investic.projektai'!I80+'Investic.projektai'!I85+'Investic.projektai'!I90+'Investic.projektai'!I95</f>
        <v>596.8</v>
      </c>
      <c r="I17" s="928">
        <f>'Investic.projektai'!J80+'Investic.projektai'!J85+'Investic.projektai'!J90+'Investic.projektai'!J95</f>
        <v>98.80000000000001</v>
      </c>
      <c r="J17" s="928">
        <f>'Investic.projektai'!K80+'Investic.projektai'!K85+'Investic.projektai'!K90+'Investic.projektai'!K95</f>
        <v>0</v>
      </c>
      <c r="K17" s="928">
        <f>'Investic.projektai'!L80+'Investic.projektai'!L85+'Investic.projektai'!L90+'Investic.projektai'!L95</f>
        <v>0</v>
      </c>
      <c r="L17" s="929">
        <f t="shared" si="2"/>
        <v>695.5999999999999</v>
      </c>
      <c r="M17" s="930"/>
      <c r="N17" s="931"/>
      <c r="O17" s="930"/>
      <c r="P17" s="941">
        <f t="shared" si="1"/>
        <v>1357.7999999999997</v>
      </c>
    </row>
    <row r="18" spans="1:16" s="910" customFormat="1" ht="13.5">
      <c r="A18" s="908"/>
      <c r="B18" s="911" t="s">
        <v>540</v>
      </c>
      <c r="C18" s="927"/>
      <c r="D18" s="928">
        <f>'Investic.projektai'!E100</f>
        <v>196.9</v>
      </c>
      <c r="E18" s="928">
        <f>'Investic.projektai'!F100</f>
        <v>165</v>
      </c>
      <c r="F18" s="928">
        <f>'Investic.projektai'!G100</f>
        <v>464.3</v>
      </c>
      <c r="G18" s="929">
        <f>SUM(C18:F18)</f>
        <v>826.2</v>
      </c>
      <c r="H18" s="927">
        <f>'Investic.projektai'!I100</f>
        <v>270.2</v>
      </c>
      <c r="I18" s="928">
        <f>'Investic.projektai'!J100</f>
        <v>0</v>
      </c>
      <c r="J18" s="928">
        <f>'Investic.projektai'!K100</f>
        <v>0</v>
      </c>
      <c r="K18" s="928">
        <f>'Investic.projektai'!L100</f>
        <v>0</v>
      </c>
      <c r="L18" s="929">
        <f t="shared" si="2"/>
        <v>270.2</v>
      </c>
      <c r="M18" s="930"/>
      <c r="N18" s="931"/>
      <c r="O18" s="930"/>
      <c r="P18" s="941">
        <f t="shared" si="1"/>
        <v>1096.4</v>
      </c>
    </row>
    <row r="19" spans="1:16" s="910" customFormat="1" ht="39" thickBot="1">
      <c r="A19" s="912"/>
      <c r="B19" s="913" t="s">
        <v>552</v>
      </c>
      <c r="C19" s="932"/>
      <c r="D19" s="933">
        <f>'Investic.projektai'!E105</f>
        <v>0</v>
      </c>
      <c r="E19" s="933">
        <f>'Investic.projektai'!F105</f>
        <v>0</v>
      </c>
      <c r="F19" s="933">
        <f>'Investic.projektai'!G105</f>
        <v>132</v>
      </c>
      <c r="G19" s="934">
        <f>SUM(C19:F19)</f>
        <v>132</v>
      </c>
      <c r="H19" s="932">
        <f>'Investic.projektai'!I105</f>
        <v>0</v>
      </c>
      <c r="I19" s="933">
        <f>'Investic.projektai'!J105</f>
        <v>133</v>
      </c>
      <c r="J19" s="933">
        <f>'Investic.projektai'!K105</f>
        <v>0</v>
      </c>
      <c r="K19" s="933">
        <f>'Investic.projektai'!L105</f>
        <v>0</v>
      </c>
      <c r="L19" s="934">
        <f t="shared" si="2"/>
        <v>133</v>
      </c>
      <c r="M19" s="935"/>
      <c r="N19" s="936"/>
      <c r="O19" s="935"/>
      <c r="P19" s="942">
        <f t="shared" si="1"/>
        <v>265</v>
      </c>
    </row>
    <row r="21" ht="13.5" thickBot="1"/>
    <row r="22" spans="1:16" ht="13.5" thickBot="1">
      <c r="A22" s="811" t="s">
        <v>1</v>
      </c>
      <c r="B22" s="812" t="s">
        <v>554</v>
      </c>
      <c r="C22" s="1042">
        <v>2012</v>
      </c>
      <c r="D22" s="1043"/>
      <c r="E22" s="1043"/>
      <c r="F22" s="1043"/>
      <c r="G22" s="1044"/>
      <c r="H22" s="1042">
        <v>2013</v>
      </c>
      <c r="I22" s="1043"/>
      <c r="J22" s="1043"/>
      <c r="K22" s="1043"/>
      <c r="L22" s="1044"/>
      <c r="M22" s="1045">
        <v>2014</v>
      </c>
      <c r="N22" s="1045">
        <v>2015</v>
      </c>
      <c r="O22" s="1047">
        <v>2016</v>
      </c>
      <c r="P22" s="1049" t="s">
        <v>12</v>
      </c>
    </row>
    <row r="23" spans="1:16" ht="13.5" thickBot="1">
      <c r="A23" s="904" t="s">
        <v>5</v>
      </c>
      <c r="B23" s="899"/>
      <c r="C23" s="900" t="s">
        <v>8</v>
      </c>
      <c r="D23" s="901" t="s">
        <v>9</v>
      </c>
      <c r="E23" s="901" t="s">
        <v>10</v>
      </c>
      <c r="F23" s="902" t="s">
        <v>11</v>
      </c>
      <c r="G23" s="903" t="s">
        <v>12</v>
      </c>
      <c r="H23" s="900" t="s">
        <v>8</v>
      </c>
      <c r="I23" s="901" t="s">
        <v>9</v>
      </c>
      <c r="J23" s="901" t="s">
        <v>10</v>
      </c>
      <c r="K23" s="902" t="s">
        <v>11</v>
      </c>
      <c r="L23" s="903" t="s">
        <v>12</v>
      </c>
      <c r="M23" s="1051"/>
      <c r="N23" s="1051"/>
      <c r="O23" s="1052"/>
      <c r="P23" s="1050"/>
    </row>
    <row r="24" spans="1:16" ht="12.75">
      <c r="A24" s="943"/>
      <c r="B24" s="944" t="s">
        <v>559</v>
      </c>
      <c r="C24" s="945"/>
      <c r="D24" s="946"/>
      <c r="E24" s="946"/>
      <c r="F24" s="946"/>
      <c r="G24" s="947"/>
      <c r="H24" s="945"/>
      <c r="I24" s="946"/>
      <c r="J24" s="946"/>
      <c r="K24" s="946"/>
      <c r="L24" s="947"/>
      <c r="M24" s="948">
        <f>P6/10</f>
        <v>1634.1399999999999</v>
      </c>
      <c r="N24" s="948">
        <f>P6/10</f>
        <v>1634.1399999999999</v>
      </c>
      <c r="O24" s="948">
        <f>P6/10</f>
        <v>1634.1399999999999</v>
      </c>
      <c r="P24" s="950">
        <f>G24+L24+M24+N24+O24</f>
        <v>4902.42</v>
      </c>
    </row>
  </sheetData>
  <sheetProtection/>
  <mergeCells count="12">
    <mergeCell ref="N22:N23"/>
    <mergeCell ref="O22:O23"/>
    <mergeCell ref="P22:P23"/>
    <mergeCell ref="C4:G4"/>
    <mergeCell ref="H4:L4"/>
    <mergeCell ref="M4:M5"/>
    <mergeCell ref="N4:N5"/>
    <mergeCell ref="O4:O5"/>
    <mergeCell ref="P4:P5"/>
    <mergeCell ref="C22:G22"/>
    <mergeCell ref="H22:L22"/>
    <mergeCell ref="M22:M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Adašiūnas</dc:creator>
  <cp:keywords/>
  <dc:description/>
  <cp:lastModifiedBy>s.adasiunas</cp:lastModifiedBy>
  <cp:lastPrinted>2012-07-26T12:23:20Z</cp:lastPrinted>
  <dcterms:created xsi:type="dcterms:W3CDTF">2011-11-02T14:12:14Z</dcterms:created>
  <dcterms:modified xsi:type="dcterms:W3CDTF">2012-07-26T12:48:30Z</dcterms:modified>
  <cp:category/>
  <cp:version/>
  <cp:contentType/>
  <cp:contentStatus/>
</cp:coreProperties>
</file>