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-30" windowWidth="19200" windowHeight="11640" tabRatio="656"/>
  </bookViews>
  <sheets>
    <sheet name="1 lentelė" sheetId="14" r:id="rId1"/>
    <sheet name="bendras lėšų poreikis" sheetId="9" r:id="rId2"/>
    <sheet name="vertinimo kriterijai" sheetId="16" r:id="rId3"/>
  </sheets>
  <definedNames>
    <definedName name="_xlnm._FilterDatabase" localSheetId="0" hidden="1">'1 lentelė'!$A$7:$V$166</definedName>
    <definedName name="_xlnm.Print_Area" localSheetId="0">'1 lentelė'!$A$1:$V$166</definedName>
    <definedName name="_xlnm.Print_Titles" localSheetId="0">'1 lentelė'!$5:$7</definedName>
  </definedNames>
  <calcPr calcId="145621"/>
</workbook>
</file>

<file path=xl/calcChain.xml><?xml version="1.0" encoding="utf-8"?>
<calcChain xmlns="http://schemas.openxmlformats.org/spreadsheetml/2006/main">
  <c r="R141" i="14" l="1"/>
  <c r="R142" i="14" l="1"/>
  <c r="R145" i="14"/>
  <c r="T138" i="14"/>
  <c r="R116" i="14"/>
  <c r="T98" i="14"/>
  <c r="T31" i="14"/>
  <c r="T23" i="14"/>
  <c r="Q102" i="14" l="1"/>
  <c r="T94" i="14" l="1"/>
  <c r="T96" i="14" s="1"/>
  <c r="E33" i="16"/>
  <c r="U90" i="14"/>
  <c r="G19" i="16"/>
  <c r="U16" i="14"/>
  <c r="E19" i="9" s="1"/>
  <c r="U14" i="14"/>
  <c r="V17" i="14"/>
  <c r="F20" i="9" s="1"/>
  <c r="U17" i="14"/>
  <c r="V16" i="14"/>
  <c r="F19" i="9" s="1"/>
  <c r="V14" i="14"/>
  <c r="V90" i="14"/>
  <c r="T90" i="14"/>
  <c r="S90" i="14"/>
  <c r="R90" i="14"/>
  <c r="P90" i="14"/>
  <c r="O90" i="14"/>
  <c r="N90" i="14"/>
  <c r="L90" i="14"/>
  <c r="K90" i="14"/>
  <c r="J90" i="14"/>
  <c r="Q89" i="14"/>
  <c r="M89" i="14"/>
  <c r="I89" i="14"/>
  <c r="Q88" i="14"/>
  <c r="M88" i="14"/>
  <c r="I88" i="14"/>
  <c r="Q87" i="14"/>
  <c r="M87" i="14"/>
  <c r="I87" i="14"/>
  <c r="Q86" i="14"/>
  <c r="M86" i="14"/>
  <c r="I86" i="14"/>
  <c r="Q85" i="14"/>
  <c r="M85" i="14"/>
  <c r="I85" i="14"/>
  <c r="Q84" i="14"/>
  <c r="M84" i="14"/>
  <c r="I84" i="14"/>
  <c r="Q83" i="14"/>
  <c r="Q90" i="14" s="1"/>
  <c r="M83" i="14"/>
  <c r="I83" i="14"/>
  <c r="I90" i="14" s="1"/>
  <c r="R129" i="14"/>
  <c r="R115" i="14"/>
  <c r="Q115" i="14" s="1"/>
  <c r="R148" i="14"/>
  <c r="M129" i="14"/>
  <c r="Q129" i="14"/>
  <c r="U128" i="14"/>
  <c r="E17" i="9" s="1"/>
  <c r="U127" i="14"/>
  <c r="U132" i="14" s="1"/>
  <c r="N127" i="14"/>
  <c r="N115" i="14"/>
  <c r="V108" i="14"/>
  <c r="U15" i="14"/>
  <c r="P23" i="14"/>
  <c r="T63" i="14"/>
  <c r="J108" i="14"/>
  <c r="K108" i="14"/>
  <c r="L108" i="14"/>
  <c r="O108" i="14"/>
  <c r="P108" i="14"/>
  <c r="S108" i="14"/>
  <c r="T108" i="14"/>
  <c r="T113" i="14" s="1"/>
  <c r="V123" i="14"/>
  <c r="U123" i="14"/>
  <c r="T123" i="14"/>
  <c r="S123" i="14"/>
  <c r="R123" i="14"/>
  <c r="P123" i="14"/>
  <c r="O123" i="14"/>
  <c r="N123" i="14"/>
  <c r="L123" i="14"/>
  <c r="K123" i="14"/>
  <c r="J123" i="14"/>
  <c r="Q122" i="14"/>
  <c r="M122" i="14"/>
  <c r="I122" i="14"/>
  <c r="Q121" i="14"/>
  <c r="Q123" i="14"/>
  <c r="M121" i="14"/>
  <c r="M123" i="14"/>
  <c r="I121" i="14"/>
  <c r="I123" i="14"/>
  <c r="R108" i="14"/>
  <c r="Q147" i="14"/>
  <c r="M147" i="14"/>
  <c r="I147" i="14"/>
  <c r="Q148" i="14"/>
  <c r="M148" i="14"/>
  <c r="I148" i="14"/>
  <c r="Q144" i="14"/>
  <c r="M144" i="14"/>
  <c r="I144" i="14"/>
  <c r="Q145" i="14"/>
  <c r="M145" i="14"/>
  <c r="I145" i="14"/>
  <c r="M141" i="14"/>
  <c r="I141" i="14"/>
  <c r="Q142" i="14"/>
  <c r="Q162" i="14" s="1"/>
  <c r="M142" i="14"/>
  <c r="I142" i="14"/>
  <c r="M115" i="14"/>
  <c r="I115" i="14"/>
  <c r="Q116" i="14"/>
  <c r="M116" i="14"/>
  <c r="I116" i="14"/>
  <c r="Q93" i="14"/>
  <c r="M93" i="14"/>
  <c r="I93" i="14"/>
  <c r="Q95" i="14"/>
  <c r="M95" i="14"/>
  <c r="I95" i="14"/>
  <c r="I53" i="14"/>
  <c r="M53" i="14"/>
  <c r="Q53" i="14"/>
  <c r="U108" i="14"/>
  <c r="V31" i="14"/>
  <c r="F14" i="9"/>
  <c r="E14" i="9"/>
  <c r="V39" i="14"/>
  <c r="U39" i="14"/>
  <c r="U31" i="14"/>
  <c r="U35" i="14" s="1"/>
  <c r="V34" i="14"/>
  <c r="U23" i="14"/>
  <c r="U27" i="14" s="1"/>
  <c r="T112" i="14"/>
  <c r="Q59" i="14"/>
  <c r="M59" i="14"/>
  <c r="I59" i="14"/>
  <c r="J27" i="14"/>
  <c r="K27" i="14"/>
  <c r="N27" i="14"/>
  <c r="O27" i="14"/>
  <c r="R27" i="14"/>
  <c r="S27" i="14"/>
  <c r="T27" i="14"/>
  <c r="V27" i="14"/>
  <c r="L23" i="14"/>
  <c r="L27" i="14"/>
  <c r="L31" i="14"/>
  <c r="N117" i="14"/>
  <c r="V117" i="14"/>
  <c r="U117" i="14"/>
  <c r="T117" i="14"/>
  <c r="S117" i="14"/>
  <c r="P117" i="14"/>
  <c r="O117" i="14"/>
  <c r="L117" i="14"/>
  <c r="K117" i="14"/>
  <c r="J117" i="14"/>
  <c r="I118" i="14"/>
  <c r="M118" i="14"/>
  <c r="M120" i="14" s="1"/>
  <c r="Q118" i="14"/>
  <c r="Q120" i="14" s="1"/>
  <c r="S120" i="14"/>
  <c r="P120" i="14"/>
  <c r="L120" i="14"/>
  <c r="K120" i="14"/>
  <c r="I120" i="14"/>
  <c r="V135" i="14"/>
  <c r="U135" i="14"/>
  <c r="T135" i="14"/>
  <c r="S135" i="14"/>
  <c r="R135" i="14"/>
  <c r="P135" i="14"/>
  <c r="O135" i="14"/>
  <c r="N135" i="14"/>
  <c r="L135" i="14"/>
  <c r="K135" i="14"/>
  <c r="J135" i="14"/>
  <c r="Q134" i="14"/>
  <c r="Q135" i="14" s="1"/>
  <c r="M134" i="14"/>
  <c r="I134" i="14"/>
  <c r="Q133" i="14"/>
  <c r="M133" i="14"/>
  <c r="M135" i="14" s="1"/>
  <c r="I133" i="14"/>
  <c r="N108" i="14"/>
  <c r="N113" i="14" s="1"/>
  <c r="V112" i="14"/>
  <c r="U112" i="14"/>
  <c r="S112" i="14"/>
  <c r="S113" i="14" s="1"/>
  <c r="R112" i="14"/>
  <c r="P112" i="14"/>
  <c r="O112" i="14"/>
  <c r="O113" i="14" s="1"/>
  <c r="N112" i="14"/>
  <c r="L112" i="14"/>
  <c r="K112" i="14"/>
  <c r="J112" i="14"/>
  <c r="Q111" i="14"/>
  <c r="M111" i="14"/>
  <c r="I111" i="14"/>
  <c r="Q110" i="14"/>
  <c r="M110" i="14"/>
  <c r="I110" i="14"/>
  <c r="Q109" i="14"/>
  <c r="M109" i="14"/>
  <c r="I109" i="14"/>
  <c r="V132" i="14"/>
  <c r="T132" i="14"/>
  <c r="S132" i="14"/>
  <c r="R132" i="14"/>
  <c r="P132" i="14"/>
  <c r="O132" i="14"/>
  <c r="L132" i="14"/>
  <c r="K132" i="14"/>
  <c r="J132" i="14"/>
  <c r="P113" i="14"/>
  <c r="K113" i="14"/>
  <c r="Q108" i="14"/>
  <c r="I102" i="14"/>
  <c r="V51" i="14"/>
  <c r="U51" i="14"/>
  <c r="T51" i="14"/>
  <c r="S51" i="14"/>
  <c r="R51" i="14"/>
  <c r="P51" i="14"/>
  <c r="O51" i="14"/>
  <c r="N51" i="14"/>
  <c r="L51" i="14"/>
  <c r="K51" i="14"/>
  <c r="J51" i="14"/>
  <c r="Q50" i="14"/>
  <c r="Q49" i="14"/>
  <c r="Q48" i="14"/>
  <c r="Q47" i="14"/>
  <c r="Q46" i="14"/>
  <c r="Q45" i="14"/>
  <c r="Q44" i="14"/>
  <c r="M50" i="14"/>
  <c r="M49" i="14"/>
  <c r="M48" i="14"/>
  <c r="M47" i="14"/>
  <c r="M46" i="14"/>
  <c r="M45" i="14"/>
  <c r="M44" i="14"/>
  <c r="I50" i="14"/>
  <c r="I49" i="14"/>
  <c r="I48" i="14"/>
  <c r="I47" i="14"/>
  <c r="I46" i="14"/>
  <c r="I45" i="14"/>
  <c r="I44" i="14"/>
  <c r="U43" i="14"/>
  <c r="T43" i="14"/>
  <c r="S43" i="14"/>
  <c r="R43" i="14"/>
  <c r="P43" i="14"/>
  <c r="O43" i="14"/>
  <c r="N43" i="14"/>
  <c r="L43" i="14"/>
  <c r="K43" i="14"/>
  <c r="J43" i="14"/>
  <c r="Q42" i="14"/>
  <c r="Q41" i="14"/>
  <c r="Q40" i="14"/>
  <c r="Q39" i="14"/>
  <c r="Q38" i="14"/>
  <c r="Q37" i="14"/>
  <c r="Q36" i="14"/>
  <c r="M42" i="14"/>
  <c r="M41" i="14"/>
  <c r="M40" i="14"/>
  <c r="M39" i="14"/>
  <c r="M38" i="14"/>
  <c r="M37" i="14"/>
  <c r="M36" i="14"/>
  <c r="I42" i="14"/>
  <c r="I41" i="14"/>
  <c r="I40" i="14"/>
  <c r="I39" i="14"/>
  <c r="I38" i="14"/>
  <c r="I37" i="14"/>
  <c r="I36" i="14"/>
  <c r="V35" i="14"/>
  <c r="T35" i="14"/>
  <c r="S35" i="14"/>
  <c r="R35" i="14"/>
  <c r="P35" i="14"/>
  <c r="O35" i="14"/>
  <c r="N35" i="14"/>
  <c r="L35" i="14"/>
  <c r="K35" i="14"/>
  <c r="J35" i="14"/>
  <c r="Q34" i="14"/>
  <c r="Q33" i="14"/>
  <c r="Q32" i="14"/>
  <c r="Q31" i="14"/>
  <c r="Q30" i="14"/>
  <c r="Q29" i="14"/>
  <c r="Q28" i="14"/>
  <c r="M34" i="14"/>
  <c r="M33" i="14"/>
  <c r="M32" i="14"/>
  <c r="M31" i="14"/>
  <c r="M30" i="14"/>
  <c r="M29" i="14"/>
  <c r="M28" i="14"/>
  <c r="M35" i="14" s="1"/>
  <c r="I34" i="14"/>
  <c r="I33" i="14"/>
  <c r="I32" i="14"/>
  <c r="I31" i="14"/>
  <c r="I30" i="14"/>
  <c r="I29" i="14"/>
  <c r="I28" i="14"/>
  <c r="Q26" i="14"/>
  <c r="Q25" i="14"/>
  <c r="Q24" i="14"/>
  <c r="Q23" i="14"/>
  <c r="Q22" i="14"/>
  <c r="Q21" i="14"/>
  <c r="Q20" i="14"/>
  <c r="M26" i="14"/>
  <c r="M25" i="14"/>
  <c r="M24" i="14"/>
  <c r="M22" i="14"/>
  <c r="M21" i="14"/>
  <c r="M20" i="14"/>
  <c r="I26" i="14"/>
  <c r="I25" i="14"/>
  <c r="I24" i="14"/>
  <c r="I23" i="14"/>
  <c r="I22" i="14"/>
  <c r="I21" i="14"/>
  <c r="I20" i="14"/>
  <c r="I27" i="14" s="1"/>
  <c r="Q16" i="14"/>
  <c r="Q17" i="14"/>
  <c r="M16" i="14"/>
  <c r="M17" i="14"/>
  <c r="I17" i="14"/>
  <c r="I16" i="14"/>
  <c r="V19" i="14"/>
  <c r="T19" i="14"/>
  <c r="S19" i="14"/>
  <c r="R19" i="14"/>
  <c r="P19" i="14"/>
  <c r="O19" i="14"/>
  <c r="N19" i="14"/>
  <c r="Q18" i="14"/>
  <c r="Q15" i="14"/>
  <c r="Q14" i="14"/>
  <c r="Q13" i="14"/>
  <c r="Q12" i="14"/>
  <c r="M18" i="14"/>
  <c r="M15" i="14"/>
  <c r="M14" i="14"/>
  <c r="M13" i="14"/>
  <c r="M12" i="14"/>
  <c r="J19" i="14"/>
  <c r="K19" i="14"/>
  <c r="L19" i="14"/>
  <c r="I14" i="14"/>
  <c r="I15" i="14"/>
  <c r="I18" i="14"/>
  <c r="B21" i="9" s="1"/>
  <c r="U74" i="14"/>
  <c r="U79" i="14"/>
  <c r="U82" i="14"/>
  <c r="U56" i="14"/>
  <c r="U62" i="14"/>
  <c r="U99" i="14"/>
  <c r="U100" i="14" s="1"/>
  <c r="U69" i="14"/>
  <c r="U96" i="14"/>
  <c r="U120" i="14"/>
  <c r="U126" i="14"/>
  <c r="U140" i="14"/>
  <c r="U143" i="14"/>
  <c r="U146" i="14"/>
  <c r="U149" i="14"/>
  <c r="U150" i="14"/>
  <c r="U65" i="14"/>
  <c r="I13" i="14"/>
  <c r="I12" i="14"/>
  <c r="I158" i="14" s="1"/>
  <c r="I70" i="14"/>
  <c r="M70" i="14"/>
  <c r="Q70" i="14"/>
  <c r="I71" i="14"/>
  <c r="M71" i="14"/>
  <c r="Q71" i="14"/>
  <c r="I72" i="14"/>
  <c r="M72" i="14"/>
  <c r="Q72" i="14"/>
  <c r="I73" i="14"/>
  <c r="M73" i="14"/>
  <c r="Q73" i="14"/>
  <c r="J74" i="14"/>
  <c r="K74" i="14"/>
  <c r="L74" i="14"/>
  <c r="N74" i="14"/>
  <c r="O74" i="14"/>
  <c r="P74" i="14"/>
  <c r="R74" i="14"/>
  <c r="S74" i="14"/>
  <c r="T74" i="14"/>
  <c r="V74" i="14"/>
  <c r="I75" i="14"/>
  <c r="M75" i="14"/>
  <c r="Q75" i="14"/>
  <c r="I76" i="14"/>
  <c r="M76" i="14"/>
  <c r="Q76" i="14"/>
  <c r="I77" i="14"/>
  <c r="M77" i="14"/>
  <c r="Q77" i="14"/>
  <c r="I78" i="14"/>
  <c r="M78" i="14"/>
  <c r="Q78" i="14"/>
  <c r="J79" i="14"/>
  <c r="K79" i="14"/>
  <c r="L79" i="14"/>
  <c r="N79" i="14"/>
  <c r="O79" i="14"/>
  <c r="P79" i="14"/>
  <c r="R79" i="14"/>
  <c r="S79" i="14"/>
  <c r="T79" i="14"/>
  <c r="V79" i="14"/>
  <c r="I80" i="14"/>
  <c r="I82" i="14" s="1"/>
  <c r="M80" i="14"/>
  <c r="Q80" i="14"/>
  <c r="I81" i="14"/>
  <c r="M81" i="14"/>
  <c r="Q81" i="14"/>
  <c r="J82" i="14"/>
  <c r="K82" i="14"/>
  <c r="L82" i="14"/>
  <c r="N82" i="14"/>
  <c r="O82" i="14"/>
  <c r="P82" i="14"/>
  <c r="R82" i="14"/>
  <c r="S82" i="14"/>
  <c r="T82" i="14"/>
  <c r="V82" i="14"/>
  <c r="I52" i="14"/>
  <c r="M52" i="14"/>
  <c r="Q52" i="14"/>
  <c r="I54" i="14"/>
  <c r="M54" i="14"/>
  <c r="Q54" i="14"/>
  <c r="I55" i="14"/>
  <c r="M55" i="14"/>
  <c r="Q55" i="14"/>
  <c r="J56" i="14"/>
  <c r="K56" i="14"/>
  <c r="L56" i="14"/>
  <c r="N56" i="14"/>
  <c r="O56" i="14"/>
  <c r="P56" i="14"/>
  <c r="R56" i="14"/>
  <c r="S56" i="14"/>
  <c r="T56" i="14"/>
  <c r="V56" i="14"/>
  <c r="I57" i="14"/>
  <c r="M57" i="14"/>
  <c r="Q57" i="14"/>
  <c r="I58" i="14"/>
  <c r="M58" i="14"/>
  <c r="Q58" i="14"/>
  <c r="J62" i="14"/>
  <c r="K62" i="14"/>
  <c r="L62" i="14"/>
  <c r="N62" i="14"/>
  <c r="O62" i="14"/>
  <c r="P62" i="14"/>
  <c r="R62" i="14"/>
  <c r="S62" i="14"/>
  <c r="T62" i="14"/>
  <c r="V62" i="14"/>
  <c r="I97" i="14"/>
  <c r="M97" i="14"/>
  <c r="Q97" i="14"/>
  <c r="I98" i="14"/>
  <c r="M98" i="14"/>
  <c r="Q98" i="14"/>
  <c r="J99" i="14"/>
  <c r="K99" i="14"/>
  <c r="L99" i="14"/>
  <c r="N99" i="14"/>
  <c r="O99" i="14"/>
  <c r="P99" i="14"/>
  <c r="R99" i="14"/>
  <c r="S99" i="14"/>
  <c r="T99" i="14"/>
  <c r="T100" i="14" s="1"/>
  <c r="V99" i="14"/>
  <c r="I66" i="14"/>
  <c r="M66" i="14"/>
  <c r="Q66" i="14"/>
  <c r="I67" i="14"/>
  <c r="M67" i="14"/>
  <c r="Q67" i="14"/>
  <c r="I68" i="14"/>
  <c r="M68" i="14"/>
  <c r="Q68" i="14"/>
  <c r="J69" i="14"/>
  <c r="K69" i="14"/>
  <c r="L69" i="14"/>
  <c r="N69" i="14"/>
  <c r="O69" i="14"/>
  <c r="P69" i="14"/>
  <c r="R69" i="14"/>
  <c r="S69" i="14"/>
  <c r="T69" i="14"/>
  <c r="V69" i="14"/>
  <c r="I94" i="14"/>
  <c r="M94" i="14"/>
  <c r="Q94" i="14"/>
  <c r="J96" i="14"/>
  <c r="K96" i="14"/>
  <c r="K100" i="14" s="1"/>
  <c r="L96" i="14"/>
  <c r="N96" i="14"/>
  <c r="N100" i="14" s="1"/>
  <c r="O96" i="14"/>
  <c r="P96" i="14"/>
  <c r="P100" i="14" s="1"/>
  <c r="R96" i="14"/>
  <c r="S96" i="14"/>
  <c r="S100" i="14" s="1"/>
  <c r="V96" i="14"/>
  <c r="J120" i="14"/>
  <c r="N120" i="14"/>
  <c r="O120" i="14"/>
  <c r="R120" i="14"/>
  <c r="T120" i="14"/>
  <c r="V120" i="14"/>
  <c r="I124" i="14"/>
  <c r="M124" i="14"/>
  <c r="Q124" i="14"/>
  <c r="Q126" i="14" s="1"/>
  <c r="I125" i="14"/>
  <c r="M125" i="14"/>
  <c r="Q125" i="14"/>
  <c r="J126" i="14"/>
  <c r="K126" i="14"/>
  <c r="L126" i="14"/>
  <c r="N126" i="14"/>
  <c r="O126" i="14"/>
  <c r="O136" i="14" s="1"/>
  <c r="P126" i="14"/>
  <c r="P136" i="14" s="1"/>
  <c r="R126" i="14"/>
  <c r="S126" i="14"/>
  <c r="S136" i="14" s="1"/>
  <c r="T126" i="14"/>
  <c r="T136" i="14" s="1"/>
  <c r="V126" i="14"/>
  <c r="V136" i="14" s="1"/>
  <c r="I127" i="14"/>
  <c r="Q127" i="14"/>
  <c r="I128" i="14"/>
  <c r="M128" i="14"/>
  <c r="Q128" i="14"/>
  <c r="I131" i="14"/>
  <c r="M131" i="14"/>
  <c r="Q131" i="14"/>
  <c r="I138" i="14"/>
  <c r="M138" i="14"/>
  <c r="Q138" i="14"/>
  <c r="I139" i="14"/>
  <c r="M139" i="14"/>
  <c r="Q139" i="14"/>
  <c r="J140" i="14"/>
  <c r="K140" i="14"/>
  <c r="L140" i="14"/>
  <c r="N140" i="14"/>
  <c r="O140" i="14"/>
  <c r="P140" i="14"/>
  <c r="R140" i="14"/>
  <c r="S140" i="14"/>
  <c r="T140" i="14"/>
  <c r="V140" i="14"/>
  <c r="J143" i="14"/>
  <c r="K143" i="14"/>
  <c r="L143" i="14"/>
  <c r="N143" i="14"/>
  <c r="O143" i="14"/>
  <c r="P143" i="14"/>
  <c r="S143" i="14"/>
  <c r="T143" i="14"/>
  <c r="V143" i="14"/>
  <c r="J146" i="14"/>
  <c r="K146" i="14"/>
  <c r="L146" i="14"/>
  <c r="N146" i="14"/>
  <c r="O146" i="14"/>
  <c r="P146" i="14"/>
  <c r="R146" i="14"/>
  <c r="S146" i="14"/>
  <c r="T146" i="14"/>
  <c r="V146" i="14"/>
  <c r="J149" i="14"/>
  <c r="K149" i="14"/>
  <c r="L149" i="14"/>
  <c r="N149" i="14"/>
  <c r="O149" i="14"/>
  <c r="P149" i="14"/>
  <c r="P150" i="14" s="1"/>
  <c r="R149" i="14"/>
  <c r="S149" i="14"/>
  <c r="S150" i="14" s="1"/>
  <c r="T149" i="14"/>
  <c r="T150" i="14"/>
  <c r="V149" i="14"/>
  <c r="V150" i="14"/>
  <c r="I63" i="14"/>
  <c r="M63" i="14"/>
  <c r="Q63" i="14"/>
  <c r="I64" i="14"/>
  <c r="M64" i="14"/>
  <c r="Q64" i="14"/>
  <c r="J65" i="14"/>
  <c r="K65" i="14"/>
  <c r="L65" i="14"/>
  <c r="N65" i="14"/>
  <c r="O65" i="14"/>
  <c r="P65" i="14"/>
  <c r="R65" i="14"/>
  <c r="S65" i="14"/>
  <c r="T65" i="14"/>
  <c r="V65" i="14"/>
  <c r="F21" i="9"/>
  <c r="E21" i="9"/>
  <c r="E20" i="9"/>
  <c r="E18" i="9"/>
  <c r="F17" i="9"/>
  <c r="F15" i="9"/>
  <c r="E15" i="9"/>
  <c r="D15" i="9"/>
  <c r="C15" i="9"/>
  <c r="B15" i="9"/>
  <c r="F13" i="9"/>
  <c r="E13" i="9"/>
  <c r="I126" i="14"/>
  <c r="Q82" i="14"/>
  <c r="I65" i="14"/>
  <c r="M65" i="14"/>
  <c r="I140" i="14"/>
  <c r="I143" i="14"/>
  <c r="M74" i="14"/>
  <c r="M149" i="14"/>
  <c r="I149" i="14"/>
  <c r="I146" i="14"/>
  <c r="I132" i="14"/>
  <c r="M62" i="14"/>
  <c r="M146" i="14"/>
  <c r="Q140" i="14"/>
  <c r="Q62" i="14"/>
  <c r="M96" i="14"/>
  <c r="Q132" i="14"/>
  <c r="M99" i="14"/>
  <c r="M100" i="14" s="1"/>
  <c r="Q56" i="14"/>
  <c r="I56" i="14"/>
  <c r="I96" i="14"/>
  <c r="Q96" i="14"/>
  <c r="I74" i="14"/>
  <c r="Q149" i="14"/>
  <c r="M143" i="14"/>
  <c r="M82" i="14"/>
  <c r="Q112" i="14"/>
  <c r="Q164" i="14"/>
  <c r="M126" i="14"/>
  <c r="Q146" i="14"/>
  <c r="Q79" i="14"/>
  <c r="B18" i="9"/>
  <c r="I162" i="14"/>
  <c r="C21" i="9"/>
  <c r="M164" i="14"/>
  <c r="I112" i="14"/>
  <c r="M112" i="14"/>
  <c r="Q165" i="14"/>
  <c r="I19" i="14"/>
  <c r="M163" i="14"/>
  <c r="D20" i="9"/>
  <c r="Q51" i="14"/>
  <c r="I35" i="14"/>
  <c r="D17" i="9"/>
  <c r="M51" i="14"/>
  <c r="D18" i="9"/>
  <c r="C19" i="9"/>
  <c r="I164" i="14"/>
  <c r="I51" i="14"/>
  <c r="I163" i="14"/>
  <c r="M165" i="14"/>
  <c r="J113" i="14"/>
  <c r="J150" i="14"/>
  <c r="L150" i="14"/>
  <c r="I150" i="14"/>
  <c r="D14" i="9"/>
  <c r="I159" i="14"/>
  <c r="C14" i="9"/>
  <c r="M19" i="14"/>
  <c r="Q117" i="14" l="1"/>
  <c r="M79" i="14"/>
  <c r="Q74" i="14"/>
  <c r="B14" i="9"/>
  <c r="I161" i="14"/>
  <c r="M161" i="14"/>
  <c r="Q19" i="14"/>
  <c r="B20" i="9"/>
  <c r="D19" i="9"/>
  <c r="Q161" i="14"/>
  <c r="D21" i="9"/>
  <c r="M159" i="14"/>
  <c r="C20" i="9"/>
  <c r="Q35" i="14"/>
  <c r="I43" i="14"/>
  <c r="B19" i="9"/>
  <c r="M43" i="14"/>
  <c r="Q43" i="14"/>
  <c r="R117" i="14"/>
  <c r="R136" i="14" s="1"/>
  <c r="M117" i="14"/>
  <c r="I117" i="14"/>
  <c r="R113" i="14"/>
  <c r="R143" i="14"/>
  <c r="R150" i="14" s="1"/>
  <c r="Q65" i="14"/>
  <c r="O150" i="14"/>
  <c r="M140" i="14"/>
  <c r="M150" i="14" s="1"/>
  <c r="V100" i="14"/>
  <c r="M69" i="14"/>
  <c r="Q69" i="14"/>
  <c r="I69" i="14"/>
  <c r="Q99" i="14"/>
  <c r="Q100" i="14" s="1"/>
  <c r="I99" i="14"/>
  <c r="I100" i="14" s="1"/>
  <c r="I62" i="14"/>
  <c r="M56" i="14"/>
  <c r="Q136" i="14"/>
  <c r="U136" i="14"/>
  <c r="L113" i="14"/>
  <c r="V113" i="14"/>
  <c r="U113" i="14"/>
  <c r="F12" i="9"/>
  <c r="E12" i="9"/>
  <c r="I157" i="14"/>
  <c r="E16" i="9"/>
  <c r="B13" i="9"/>
  <c r="B12" i="9" s="1"/>
  <c r="I108" i="14"/>
  <c r="I113" i="14" s="1"/>
  <c r="Q113" i="14"/>
  <c r="D16" i="9"/>
  <c r="V91" i="14"/>
  <c r="R100" i="14"/>
  <c r="O100" i="14"/>
  <c r="O151" i="14" s="1"/>
  <c r="O152" i="14" s="1"/>
  <c r="C9" i="9" s="1"/>
  <c r="L100" i="14"/>
  <c r="J100" i="14"/>
  <c r="T91" i="14"/>
  <c r="T151" i="14" s="1"/>
  <c r="T152" i="14" s="1"/>
  <c r="D10" i="9" s="1"/>
  <c r="R91" i="14"/>
  <c r="O91" i="14"/>
  <c r="I79" i="14"/>
  <c r="I91" i="14" s="1"/>
  <c r="Q27" i="14"/>
  <c r="Q91" i="14" s="1"/>
  <c r="K136" i="14"/>
  <c r="V43" i="14"/>
  <c r="F18" i="9"/>
  <c r="F16" i="9" s="1"/>
  <c r="F11" i="9" s="1"/>
  <c r="K91" i="14"/>
  <c r="Q159" i="14"/>
  <c r="C17" i="9"/>
  <c r="Q163" i="14"/>
  <c r="Q160" i="14" s="1"/>
  <c r="B17" i="9"/>
  <c r="B16" i="9" s="1"/>
  <c r="I165" i="14"/>
  <c r="I160" i="14" s="1"/>
  <c r="I166" i="14" s="1"/>
  <c r="M102" i="14"/>
  <c r="C13" i="9" s="1"/>
  <c r="C12" i="9" s="1"/>
  <c r="N150" i="14"/>
  <c r="K150" i="14"/>
  <c r="S91" i="14"/>
  <c r="S151" i="14" s="1"/>
  <c r="S152" i="14" s="1"/>
  <c r="D9" i="9" s="1"/>
  <c r="N91" i="14"/>
  <c r="J136" i="14"/>
  <c r="L136" i="14"/>
  <c r="I135" i="14"/>
  <c r="I136" i="14" s="1"/>
  <c r="Q141" i="14"/>
  <c r="Q143" i="14" s="1"/>
  <c r="Q150" i="14" s="1"/>
  <c r="P27" i="14"/>
  <c r="P91" i="14" s="1"/>
  <c r="M23" i="14"/>
  <c r="M127" i="14"/>
  <c r="M132" i="14" s="1"/>
  <c r="M136" i="14" s="1"/>
  <c r="N132" i="14"/>
  <c r="N136" i="14" s="1"/>
  <c r="M90" i="14"/>
  <c r="J91" i="14"/>
  <c r="L91" i="14"/>
  <c r="U19" i="14"/>
  <c r="U91" i="14" s="1"/>
  <c r="U151" i="14" s="1"/>
  <c r="U152" i="14" s="1"/>
  <c r="E7" i="9" s="1"/>
  <c r="R151" i="14" l="1"/>
  <c r="R152" i="14" s="1"/>
  <c r="D8" i="9" s="1"/>
  <c r="D7" i="9" s="1"/>
  <c r="E11" i="9"/>
  <c r="V151" i="14"/>
  <c r="V152" i="14" s="1"/>
  <c r="F7" i="9" s="1"/>
  <c r="B11" i="9"/>
  <c r="P151" i="14"/>
  <c r="P152" i="14" s="1"/>
  <c r="C10" i="9" s="1"/>
  <c r="I151" i="14"/>
  <c r="I152" i="14" s="1"/>
  <c r="M162" i="14"/>
  <c r="M160" i="14" s="1"/>
  <c r="C18" i="9"/>
  <c r="C16" i="9" s="1"/>
  <c r="C11" i="9" s="1"/>
  <c r="Q151" i="14"/>
  <c r="Q152" i="14" s="1"/>
  <c r="L151" i="14"/>
  <c r="L152" i="14" s="1"/>
  <c r="B10" i="9" s="1"/>
  <c r="N151" i="14"/>
  <c r="N152" i="14" s="1"/>
  <c r="C8" i="9" s="1"/>
  <c r="C7" i="9" s="1"/>
  <c r="J151" i="14"/>
  <c r="J152" i="14" s="1"/>
  <c r="B8" i="9" s="1"/>
  <c r="B7" i="9" s="1"/>
  <c r="K151" i="14"/>
  <c r="K152" i="14" s="1"/>
  <c r="B9" i="9" s="1"/>
  <c r="M108" i="14"/>
  <c r="M113" i="14" s="1"/>
  <c r="M158" i="14"/>
  <c r="M157" i="14" s="1"/>
  <c r="D13" i="9"/>
  <c r="D12" i="9" s="1"/>
  <c r="D11" i="9" s="1"/>
  <c r="Q158" i="14"/>
  <c r="M27" i="14"/>
  <c r="M91" i="14" s="1"/>
  <c r="M151" i="14" l="1"/>
  <c r="M152" i="14" s="1"/>
  <c r="M166" i="14"/>
  <c r="Q157" i="14"/>
  <c r="Q166" i="14" s="1"/>
</calcChain>
</file>

<file path=xl/sharedStrings.xml><?xml version="1.0" encoding="utf-8"?>
<sst xmlns="http://schemas.openxmlformats.org/spreadsheetml/2006/main" count="534" uniqueCount="240">
  <si>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</si>
  <si>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</si>
  <si>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</si>
  <si>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</si>
  <si>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</si>
  <si>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</si>
  <si>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</si>
  <si>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</si>
  <si>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</si>
  <si>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02</t>
  </si>
  <si>
    <t>03</t>
  </si>
  <si>
    <t>SB</t>
  </si>
  <si>
    <t>04</t>
  </si>
  <si>
    <t>06</t>
  </si>
  <si>
    <t>07</t>
  </si>
  <si>
    <t>08</t>
  </si>
  <si>
    <t>10</t>
  </si>
  <si>
    <t>12</t>
  </si>
  <si>
    <t>ES</t>
  </si>
  <si>
    <t>Iš viso uždaviniui:</t>
  </si>
  <si>
    <t>Iš viso:</t>
  </si>
  <si>
    <t>Iš viso tikslui:</t>
  </si>
  <si>
    <t>I</t>
  </si>
  <si>
    <t>Ekonominės klasifikacijos grupės</t>
  </si>
  <si>
    <t>1.2. turtui įsigyti ir finansiniams įsipareigojimams vykdyti</t>
  </si>
  <si>
    <t>KVJUD</t>
  </si>
  <si>
    <t>Joniškės g. rekonstrukcija (I etapas)</t>
  </si>
  <si>
    <t xml:space="preserve">Iš viso programai: </t>
  </si>
  <si>
    <t>Finansavimo šaltiniai</t>
  </si>
  <si>
    <t>Atlikti kasmetinius miesto susisiekimo infrastruktūros objektų priežiūros ir įrengimo darbus</t>
  </si>
  <si>
    <t>Kt</t>
  </si>
  <si>
    <t>06 Susisiekimo sistemos priežiūros ir plėtros programa</t>
  </si>
  <si>
    <t>tūkst. Lt</t>
  </si>
  <si>
    <t>SAVIVALDYBĖS  LĖŠOS, IŠ VISO:</t>
  </si>
  <si>
    <t>KITI ŠALTINIAI, IŠ VISO:</t>
  </si>
  <si>
    <t>IŠ VISO:</t>
  </si>
  <si>
    <t>Finansavimo šaltinių suvestinė</t>
  </si>
  <si>
    <t xml:space="preserve">Didinti gatvių tinklo pralaidumą ir užtikrinti jų tankumą </t>
  </si>
  <si>
    <t>05</t>
  </si>
  <si>
    <t>09</t>
  </si>
  <si>
    <t>1. IŠ VISO LĖŠŲ POREIKIS:</t>
  </si>
  <si>
    <t>1.1. išlaidoms</t>
  </si>
  <si>
    <t>1.1.1. iš jų darbo užmokesčiui</t>
  </si>
  <si>
    <t>2. FINANSAVIMO ŠALTINIAI:</t>
  </si>
  <si>
    <t>2.1. SAVIVALDYBĖS  LĖŠOS, IŠ VISO:</t>
  </si>
  <si>
    <t>2.2. KITI ŠALTINIAI, IŠ VISO:</t>
  </si>
  <si>
    <t>1 lentelės tęsinys</t>
  </si>
  <si>
    <t>Pavadinimas</t>
  </si>
  <si>
    <t xml:space="preserve">Rekonstruoti ir tiesti gatves </t>
  </si>
  <si>
    <t xml:space="preserve">Vystyti Klaipėdos pramoninės plėtros teritorijos susisiekimo infrastruktūrą   </t>
  </si>
  <si>
    <t>Pietinės jungties tarp Klaipėdos valstybinio jūrų uosto ir IX B transporto koridoriaus techninės dokumentacijos parengimas</t>
  </si>
  <si>
    <t xml:space="preserve">  </t>
  </si>
  <si>
    <t>11</t>
  </si>
  <si>
    <t>KPP</t>
  </si>
  <si>
    <t>Miesto autobusų parko atnaujinimas</t>
  </si>
  <si>
    <t>Automatinės eismo priežiūros prietaisų nuoma</t>
  </si>
  <si>
    <t>Toponuotraukų, išpildomųjų geodezinių nuotraukų įsigijimas, projektų ekspertizė, autorinė ir techninė priežiūra</t>
  </si>
  <si>
    <t xml:space="preserve">Programos (Nr. 06) lėšų poreikis ir numatomi finansavimo šaltiniai       </t>
  </si>
  <si>
    <t>VERTINIMO KRITERIJŲ SUVESTINĖ</t>
  </si>
  <si>
    <t>2 lentelė</t>
  </si>
  <si>
    <t xml:space="preserve">Kodas </t>
  </si>
  <si>
    <t>(Savivaldybės strateginio tikslo pavadinimas)</t>
  </si>
  <si>
    <t>(Programos, skirtos šiam strateginiam tikslui įgyvendinti, pavadinimas)</t>
  </si>
  <si>
    <t>Vertinimo kriterijus</t>
  </si>
  <si>
    <t>Vertinimo kriterijaus kodas</t>
  </si>
  <si>
    <t>Mato vienetas</t>
  </si>
  <si>
    <t>Rezultato:</t>
  </si>
  <si>
    <t>1-ajam programos tikslui</t>
  </si>
  <si>
    <t>Produkto:</t>
  </si>
  <si>
    <t>1-ajam uždaviniui</t>
  </si>
  <si>
    <t>2-ajam uždaviniui</t>
  </si>
  <si>
    <t>4-ajam uždaviniui</t>
  </si>
  <si>
    <t>KURTI MIESTE PATRAUKLIĄ, ŠVARIĄ IR SAUGIĄ GYVENAMĄJĄ APLINKĄ</t>
  </si>
  <si>
    <t>KLAIPĖDOS MIESTO SAVIVALDYBĖS SUSISIEKIMO SISTEMOS PRIEŽIŪROS IR PLĖTROS PROGRAMA</t>
  </si>
  <si>
    <t>R-06-01-01</t>
  </si>
  <si>
    <t>R-06-01-02</t>
  </si>
  <si>
    <t>Įgyvendinamas įstaigos strateginio tikslo kodas, programos kodas</t>
  </si>
  <si>
    <t>P-06-01-04-01</t>
  </si>
  <si>
    <t>P-06-01-01-01</t>
  </si>
  <si>
    <t>P-06-01-02-01</t>
  </si>
  <si>
    <t>P-06-01-03-01</t>
  </si>
  <si>
    <t>P-06-01-03-04</t>
  </si>
  <si>
    <t>P-06-01-03-05</t>
  </si>
  <si>
    <t>P-06-01-04-02</t>
  </si>
  <si>
    <t>02.06</t>
  </si>
  <si>
    <t>R-06-01-03</t>
  </si>
  <si>
    <t>P-06-01-01-02</t>
  </si>
  <si>
    <t>P-06-01-01-03</t>
  </si>
  <si>
    <t>1. Rekonstruota ir nutiesta gatvių Klaipėdos LEZ teritorijoje, m</t>
  </si>
  <si>
    <t>P-06-01-04-03</t>
  </si>
  <si>
    <t>P-06-01-04-04</t>
  </si>
  <si>
    <t>P-06-01-04-05</t>
  </si>
  <si>
    <t>P-06-01-04-06</t>
  </si>
  <si>
    <t>P-06-01-04-07</t>
  </si>
  <si>
    <t>P-06-01-04-08</t>
  </si>
  <si>
    <t>P-06-01-04-09</t>
  </si>
  <si>
    <t>6. Suremontuota šaligatvių, tūkst. kv. m</t>
  </si>
  <si>
    <t>9. Įrengta greičio slopinimo kalnelių, m</t>
  </si>
  <si>
    <t>10. Atnaujinta šviesoforų sankryžų, vnt.</t>
  </si>
  <si>
    <t>11. Įrengta informacinių kelio ženklų, vnt.</t>
  </si>
  <si>
    <t>P-06-01-04-10</t>
  </si>
  <si>
    <t>R-06-01-04</t>
  </si>
  <si>
    <t>1.2. Gatvių tankis, km/kv. km</t>
  </si>
  <si>
    <t>Savanorių g. ruožo tiesimas</t>
  </si>
  <si>
    <t>Pamario gatvės rekonstrukcija</t>
  </si>
  <si>
    <t>1. Nutiesta gatvių mieste, m</t>
  </si>
  <si>
    <t>2. Rekonstruota gatvių mieste, m</t>
  </si>
  <si>
    <t>3. Rekonstruota sankryžų, sk.</t>
  </si>
  <si>
    <t>P-06-01-03-02</t>
  </si>
  <si>
    <t>P-06-01-03-06</t>
  </si>
  <si>
    <t>LRVB</t>
  </si>
  <si>
    <r>
      <t xml:space="preserve">2.2.4. Klaipėdos valstybinio jūrų uosto direkcijos lėšos </t>
    </r>
    <r>
      <rPr>
        <b/>
        <sz val="10"/>
        <rFont val="Times New Roman"/>
        <family val="1"/>
        <charset val="186"/>
      </rPr>
      <t>KVJUD</t>
    </r>
  </si>
  <si>
    <t>3. Patikrinta viešojo transporto priemonių, vnt./mėn.</t>
  </si>
  <si>
    <t>5. Parduota lengvatinių bilietų, tūkst. vnt.</t>
  </si>
  <si>
    <t>6. Išmokėta kompensacijų moksleiviams, tūkst. vnt.</t>
  </si>
  <si>
    <t>Strateginis tikslas 02. Kurti mieste patrauklią, švarią ir saugią gyvenamąją aplinką</t>
  </si>
  <si>
    <r>
      <t xml:space="preserve">2.2.1. Europos Sąjungos paramos lėšos </t>
    </r>
    <r>
      <rPr>
        <b/>
        <sz val="10"/>
        <rFont val="Times New Roman"/>
        <family val="1"/>
        <charset val="186"/>
      </rPr>
      <t>ES</t>
    </r>
  </si>
  <si>
    <t>1. Įrengta ištisinio asfaltbetonio dangos,  tūkst. kv. m</t>
  </si>
  <si>
    <t>2. Suremontuota asfaltbetonio dangos duobių miesto gatvėse, tūkst. kv. m</t>
  </si>
  <si>
    <t xml:space="preserve">4. Suremontuota gatvių grindinės dangos iš akmenų, tūkst. kv. m </t>
  </si>
  <si>
    <t>8. Suženklinta gatvių termoplastu ir dažais, tūkst. kv. m</t>
  </si>
  <si>
    <t>1.1. Gatvių su asfalto danga ilgis, palyginti su bendru gatvių ilgiu, proc.</t>
  </si>
  <si>
    <t>3-iajam uždaviniui</t>
  </si>
  <si>
    <t>7. Įrengta automobilių stovėjimo vietų</t>
  </si>
  <si>
    <t>P-06-01-04-11</t>
  </si>
  <si>
    <t>Turtui įsigyti ir finansiniams įsipareigojimams vykdyti</t>
  </si>
  <si>
    <t>Iš jų darbo užmokesčiui</t>
  </si>
  <si>
    <t>P-06-01-04-13</t>
  </si>
  <si>
    <t>P-06-01-03-03</t>
  </si>
  <si>
    <r>
      <t xml:space="preserve">Funkcinės klasifikacijos kodas </t>
    </r>
    <r>
      <rPr>
        <b/>
        <sz val="9"/>
        <rFont val="Times New Roman"/>
        <family val="1"/>
      </rPr>
      <t xml:space="preserve"> </t>
    </r>
  </si>
  <si>
    <t>Projektas 2013-iesiems metams</t>
  </si>
  <si>
    <t>Vandens kelias E 70: kelias į sėkmingą pasienio bedradarbiavimą (PEARL). Techninių projektų parengimas:</t>
  </si>
  <si>
    <t>2013-ųjų metų planas</t>
  </si>
  <si>
    <t>P2.1.2.11</t>
  </si>
  <si>
    <t>P2.1.3.5.</t>
  </si>
  <si>
    <t>P2.1.2.12</t>
  </si>
  <si>
    <t>P1.2.1.1</t>
  </si>
  <si>
    <t>P3.1.1.2.</t>
  </si>
  <si>
    <t>P2.1.2.1.</t>
  </si>
  <si>
    <t>P2.1.2.7</t>
  </si>
  <si>
    <t>P2.1.2.6</t>
  </si>
  <si>
    <t xml:space="preserve">P2.1.2.6 </t>
  </si>
  <si>
    <t xml:space="preserve">P2.1.2.6. </t>
  </si>
  <si>
    <t>4. Integruotų maršrutų skaičius, vnt.</t>
  </si>
  <si>
    <t>5</t>
  </si>
  <si>
    <t>6</t>
  </si>
  <si>
    <t>Ištisinio asfaltbetonio dangos įrengimas miesto gatvėse, medžiagų tyrimas ir kontroliniai bandymai</t>
  </si>
  <si>
    <t>Tiltų ir kelio statinių priežiūra</t>
  </si>
  <si>
    <t>Asignavimai biudžetiniams 
2011-iesiems metams</t>
  </si>
  <si>
    <t>Tilžės g. nuo Šilutės pl. rekonstrukcija, pertvarkant geležinkelio pervažą bei žiedinę Mokyklos g. ir Šilutės pl. sankryžą</t>
  </si>
  <si>
    <t>3. Prieigų prie Pilies uosto sutvarkymas ir teritorijos atlaisvinimas pramoginių ir mažųjų laivų laikymui žiemos metu (elektros transformatorinės ir nuotekų siurblinės iškėlimas)</t>
  </si>
  <si>
    <t>Automobilių laikymo aikštelės (garažo) statybos Pilies g. 6A projekto parengimas</t>
  </si>
  <si>
    <t>Projekto „Gatvių infrastruktūros sukūrimas Klaipėdos daugiafunkcinio sporto ir pramogų komplekso teritorijoje (Dubysos g. atkarpos nuo Taikos pr. iki Minijos g. rekonstrukcija)“ įgyvendinimas</t>
  </si>
  <si>
    <t>Projekto „Gatvių infrastruktūros sukūrimas Klaipėdos daugiafunkcinio sporto ir pramogų komplekso teritorijoje (Merkio g., I-os aptarnaujančios g. ir II-os aptarnaujančios g. tiesimas)“ įgyvendinimas</t>
  </si>
  <si>
    <t>Asignavimų poreikis biudžetiniams 2012-iesiems metams</t>
  </si>
  <si>
    <t>2012-ųjų metų asignavimų planas</t>
  </si>
  <si>
    <t>P.2.1.3.9.</t>
  </si>
  <si>
    <t>Pėsčiųjų, šaligatvių bei privažiavimo kelių remonto bei įrengimo darbai, automobilių stovėjimo vietų įrengimas</t>
  </si>
  <si>
    <t>Projektas 2014-iesiems metams</t>
  </si>
  <si>
    <t>Centrinės miesto dalies gatvių tinklo modernizavimas:</t>
  </si>
  <si>
    <t>Šiaurinės miesto dalies gatvių tinklo modernizavimas:</t>
  </si>
  <si>
    <t>Pajūrio rekreacinių teritorijų gatvių tinklo modernizavimas:</t>
  </si>
  <si>
    <t>P 2.1.2.4.</t>
  </si>
  <si>
    <t>Tiltų ir viadukų modernizavimas:</t>
  </si>
  <si>
    <t>2013-ųjų metų lėšų projektas</t>
  </si>
  <si>
    <t>2014-ųjų metų lėšų projektas</t>
  </si>
  <si>
    <r>
      <t xml:space="preserve">Savivaldybės biudžeto lėšos </t>
    </r>
    <r>
      <rPr>
        <b/>
        <sz val="10"/>
        <rFont val="Times New Roman"/>
        <family val="1"/>
        <charset val="204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</si>
  <si>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204"/>
      </rPr>
      <t>ES</t>
    </r>
  </si>
  <si>
    <r>
      <t xml:space="preserve">Valstybės biudžeto lėšos </t>
    </r>
    <r>
      <rPr>
        <b/>
        <sz val="10"/>
        <rFont val="Times New Roman"/>
        <family val="1"/>
        <charset val="204"/>
      </rPr>
      <t>LRVB</t>
    </r>
  </si>
  <si>
    <r>
      <t xml:space="preserve">Kelių priežiūros ir plėtros programos lėšos </t>
    </r>
    <r>
      <rPr>
        <b/>
        <sz val="10"/>
        <rFont val="Times New Roman"/>
        <family val="1"/>
        <charset val="204"/>
      </rPr>
      <t>KPP</t>
    </r>
  </si>
  <si>
    <r>
      <t xml:space="preserve">Klaipėdos valstybinio jūrų uosto direkcijos lėšos </t>
    </r>
    <r>
      <rPr>
        <b/>
        <sz val="10"/>
        <rFont val="Times New Roman"/>
        <family val="1"/>
        <charset val="204"/>
      </rPr>
      <t>KVJUD</t>
    </r>
  </si>
  <si>
    <r>
      <t xml:space="preserve">Kiti finansavimo šaltiniai </t>
    </r>
    <r>
      <rPr>
        <b/>
        <sz val="10"/>
        <rFont val="Times New Roman"/>
        <family val="1"/>
        <charset val="204"/>
      </rPr>
      <t>Kt</t>
    </r>
  </si>
  <si>
    <t>Viešojo transporto paslaugų organizavimas:</t>
  </si>
  <si>
    <t>Studijų atlikimas:</t>
  </si>
  <si>
    <t>Automobilių stovėjimo aikštelių daugiabučių namų kvartaluose partnerystės projekto galimybių studija</t>
  </si>
  <si>
    <t>Regioninė galimybių studija „Vakarų krantas“</t>
  </si>
  <si>
    <t>Lėšų poreikis biudžetiniams 
2012-iesiems metams</t>
  </si>
  <si>
    <t>Mokamo automobilių stovėjimo sistemos išlaikymas</t>
  </si>
  <si>
    <t xml:space="preserve"> Užtikrinti patogios viešojo transporto sistemos funkcionavimą </t>
  </si>
  <si>
    <t>Diegti eismo srautų reguliavimo ir saugumo priemones</t>
  </si>
  <si>
    <t>Eismo reguliavimo priemonių įrengimas, remontas, priežiūra, informacinės kelio ženklų sistemos įrengimas, ekspertizių atlikimas</t>
  </si>
  <si>
    <t>1</t>
  </si>
  <si>
    <t>Klaipėdos miesto visuomeninio transporto sektoriaus tyrimas</t>
  </si>
  <si>
    <t>Pajūrio g. rekonstrukcija</t>
  </si>
  <si>
    <t>SB(P)</t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</si>
  <si>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</si>
  <si>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t>Asfaltbetonio dangos, žvyruotos dangos ir akmenimis grįstų gatvių bei daugiabučių namų kiemų dangos remontas</t>
  </si>
  <si>
    <t>Automobilių stovėjimo aikštelės teritorijoje, esančioje prie pastato Pilies g, 4, įrengimas</t>
  </si>
  <si>
    <r>
      <t xml:space="preserve">2.2.5. Kiti finansavimo šaltiniai </t>
    </r>
    <r>
      <rPr>
        <b/>
        <sz val="10"/>
        <rFont val="Times New Roman"/>
        <family val="1"/>
        <charset val="186"/>
      </rPr>
      <t>Kt</t>
    </r>
  </si>
  <si>
    <t>2012-ųjų metų planas</t>
  </si>
  <si>
    <t>2014-ųjų metų planas</t>
  </si>
  <si>
    <t xml:space="preserve"> TIKSLŲ, UŽDAVINIŲ, PRIEMONIŲ IR PRIEMONIŲ IŠLAIDŲ SUVESTINĖ</t>
  </si>
  <si>
    <t>2010-ųjų metų faktas</t>
  </si>
  <si>
    <t>1.3. Autobusų, kurių amžius neviršija 15 metų, dalis miesto viešajame transporte, proc.</t>
  </si>
  <si>
    <t xml:space="preserve">2. Įrengta kelio ženklų, draudžiančių važiuoti į senamiesčio kiemus, vnt. </t>
  </si>
  <si>
    <t>12. Eksploatuojamų greičio matavimo prietaisų skaičius, vnt.</t>
  </si>
  <si>
    <t>3. Suremontuota asfaltbetonio dangos daugiabučių namų kiemuose, tūkst. kv. m</t>
  </si>
  <si>
    <t>5. Greideriuota žvyruotos dangos, tūkst. kv. m (5 kartus greideriuojama)</t>
  </si>
  <si>
    <t>Šviesoforais reguliuojamos sankryžos iš Butkų Juzės į S.Daukanto g. įrengimas</t>
  </si>
  <si>
    <t xml:space="preserve">J.Janonio g. dangų ir šaligatvių restauravimas;
</t>
  </si>
  <si>
    <t>Naujo įvažiavimo kelio į piliavietę ir Kruizinių laivų terminalą tiesimas;</t>
  </si>
  <si>
    <t>Daržų g. rekonstrukcija;</t>
  </si>
  <si>
    <t xml:space="preserve">Švyturio g. rekonstrukcijos projekto parengimas ir įgyvendinimas; </t>
  </si>
  <si>
    <t>Labrenciškės g. rekonstrukcija;</t>
  </si>
  <si>
    <t xml:space="preserve">Utenos g., Pakruojo g., Radviliškio g. ir Rokiškio g.  rekonstrukcija (pratęsimas iki šiaurinio išvažiavimo kelio); </t>
  </si>
  <si>
    <t>Šiaurės ir Pietų transporto koridorių gatvių tinklo modernizavimas:</t>
  </si>
  <si>
    <t>Smeltės gyvenvietės gatvių rekonstrukcija;</t>
  </si>
  <si>
    <t>Minijos g. ruožo nuo Baltijos pr. iki Jūrininkų pr. rekonstrukcija (su Rūtų g. sankryža);</t>
  </si>
  <si>
    <t>Taikos pr. nuo Sausios 15-osios g. iki Kauno g. rekonstrukcija;</t>
  </si>
  <si>
    <t xml:space="preserve">Taikos pr. II juostos tiesimas nuo Smiltelės g. iki Jūrininkų pr.; </t>
  </si>
  <si>
    <t>Šilutės plento rekonstrukcija 
(I etapas – nuo Tilžės g. iki Kauno g.; II etapas – nuo Kauno g. iki Dubysos g.);</t>
  </si>
  <si>
    <t>Kelio nuo Medelyno g. ties Labrenciškėmis iki Girulių tiesimas</t>
  </si>
  <si>
    <t>1. Bastionų gatvės tiesimo ir tilto statybos;</t>
  </si>
  <si>
    <t>2. Pilies tilto priegų sutvarkymo ir požeminių perėjų rekonstrukcijos;</t>
  </si>
  <si>
    <t>Klaipėdos LEZ susisiekimo sistemos infrastruktūros įrengimas (Švepelių g. rekonstrukcija ir geležinkelio atšakos tiesimas)</t>
  </si>
  <si>
    <t>Viešojo transporto priežiūros ir paslaugų kokybės kontroliavimas;</t>
  </si>
  <si>
    <t>Transporto kompensacijų mokėjimas;</t>
  </si>
  <si>
    <t>Viešojo transporto (autobusų ir maršrutinių taksi) integravimas;</t>
  </si>
  <si>
    <t>Nuostolingų maršrutų subsidijavimas priemiesčio maršrutus aptarnaujantiems vežėjams;</t>
  </si>
  <si>
    <t>INTERREG IVC projekto POSSE įgyvendinimas („žaliosios bangos“ sistemos sukūrimo Klaipėdos mieste galimybių analizė)</t>
  </si>
  <si>
    <t>1.4. Gatvių, kuriomis važinėja viešasis transportas, ilgis, km</t>
  </si>
  <si>
    <t>Tauralaukio gyvenvietės gatvių rekonstrukcija (bei  Tauraulaukio gatvių perpektyvinės schemos parengimas)</t>
  </si>
  <si>
    <t>1 lentelė</t>
  </si>
  <si>
    <r>
      <t xml:space="preserve"> 2011–2014 M. KLAIPĖDOS MIESTO SAVIVALDYBĖS </t>
    </r>
    <r>
      <rPr>
        <b/>
        <u/>
        <sz val="10"/>
        <rFont val="Times New Roman"/>
        <family val="1"/>
        <charset val="204"/>
      </rPr>
      <t xml:space="preserve">
</t>
    </r>
    <r>
      <rPr>
        <b/>
        <u/>
        <sz val="10"/>
        <rFont val="Times New Roman"/>
        <family val="1"/>
      </rPr>
      <t>SUSISIEKIMO SISTEMOS PRIEŽIŪROS IR PLĖTROS PROGRAMOS (NR. 06)</t>
    </r>
  </si>
  <si>
    <t>2012-ųjų  asignavimų planas</t>
  </si>
  <si>
    <t>Asignavimai 2011-iesiems metams</t>
  </si>
  <si>
    <t>Statybininkų pr. tęsinio tiesimas nuo Šilutės pl. per LEZ teritoriją iki 141 kelio (Klaipėdos LEZ Lypkių g. tiesimas, I etapas)</t>
  </si>
  <si>
    <r>
      <t xml:space="preserve">2.1.1. </t>
    </r>
    <r>
      <rPr>
        <sz val="10"/>
        <rFont val="Times New Roman"/>
        <family val="1"/>
        <charset val="186"/>
      </rPr>
      <t>savivaldybės</t>
    </r>
    <r>
      <rPr>
        <sz val="10"/>
        <rFont val="Times New Roman"/>
        <family val="1"/>
      </rPr>
      <t xml:space="preserve"> biudžeto lėšos </t>
    </r>
    <r>
      <rPr>
        <b/>
        <sz val="10"/>
        <rFont val="Times New Roman"/>
        <family val="1"/>
      </rPr>
      <t>SB</t>
    </r>
  </si>
  <si>
    <r>
      <t xml:space="preserve">2.1.2. paskolos lėšos </t>
    </r>
    <r>
      <rPr>
        <b/>
        <sz val="10"/>
        <rFont val="Times New Roman"/>
        <family val="1"/>
        <charset val="186"/>
      </rPr>
      <t>SB(P)</t>
    </r>
  </si>
  <si>
    <r>
      <t xml:space="preserve">2.1.3. Savivaldybės privatizavimo fondo lėšos </t>
    </r>
    <r>
      <rPr>
        <b/>
        <sz val="10"/>
        <rFont val="Times New Roman"/>
        <family val="1"/>
        <charset val="186"/>
      </rPr>
      <t>PF</t>
    </r>
  </si>
  <si>
    <r>
      <t xml:space="preserve">2.2.2. Kelių priežiūros ir plėtros programos lėšos </t>
    </r>
    <r>
      <rPr>
        <b/>
        <sz val="10"/>
        <rFont val="Times New Roman"/>
        <family val="1"/>
        <charset val="186"/>
      </rPr>
      <t>KPP</t>
    </r>
  </si>
  <si>
    <r>
      <t>2.2.3. V</t>
    </r>
    <r>
      <rPr>
        <sz val="10"/>
        <rFont val="Times New Roman"/>
        <family val="1"/>
        <charset val="186"/>
      </rPr>
      <t>alstybės</t>
    </r>
    <r>
      <rPr>
        <sz val="10"/>
        <rFont val="Times New Roman"/>
        <family val="1"/>
      </rPr>
      <t xml:space="preserve"> biudžeto lėšos </t>
    </r>
    <r>
      <rPr>
        <b/>
        <sz val="10"/>
        <rFont val="Times New Roman"/>
        <family val="1"/>
      </rPr>
      <t>LRVB</t>
    </r>
  </si>
  <si>
    <t>13</t>
  </si>
  <si>
    <t>Baltijos pr. ir Minijos g. sankryžos rekonstrukcija. I etapas.</t>
  </si>
  <si>
    <t>P.3.1.1.3.</t>
  </si>
  <si>
    <t>Centrinio Klaipėdos valstybinio jūrų uosto įvado jungties  modernizavimas:</t>
  </si>
  <si>
    <t>Bastionų gatvės su nauju tiltu per Danės upę statyba. I etapas</t>
  </si>
  <si>
    <r>
      <t xml:space="preserve">1. Eksploatuojamų </t>
    </r>
    <r>
      <rPr>
        <sz val="10"/>
        <rFont val="Times New Roman Baltic"/>
        <charset val="186"/>
      </rPr>
      <t>bilietų automatų</t>
    </r>
    <r>
      <rPr>
        <sz val="10"/>
        <rFont val="Times New Roman Baltic"/>
        <family val="1"/>
        <charset val="186"/>
      </rPr>
      <t xml:space="preserve"> sk.</t>
    </r>
  </si>
  <si>
    <t>Pilies tilto per Danę kapitalinis remontas (projektas ir darbai)</t>
  </si>
  <si>
    <t>Šiaurės pr. - Kretingos g. sankryžos kapitalinis remontas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</si>
</sst>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3">
    <font>
      <sz val="10"/>
      <name val="Arial"/>
      <charset val="186"/>
    </font>
    <font>
      <sz val="8"/>
      <name val="Arial"/>
      <family val="2"/>
      <charset val="186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 Baltic"/>
      <family val="1"/>
      <charset val="186"/>
    </font>
    <font>
      <sz val="10"/>
      <name val="TimesLT"/>
      <charset val="186"/>
    </font>
    <font>
      <sz val="12"/>
      <name val="Arial"/>
      <family val="2"/>
      <charset val="186"/>
    </font>
    <font>
      <b/>
      <sz val="11"/>
      <name val="Times New Roman Baltic"/>
      <family val="1"/>
      <charset val="186"/>
    </font>
    <font>
      <b/>
      <sz val="8"/>
      <name val="Times New Roman Baltic"/>
      <family val="1"/>
      <charset val="186"/>
    </font>
    <font>
      <b/>
      <sz val="10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10"/>
      <name val="Times New Roman Baltic"/>
      <charset val="186"/>
    </font>
    <font>
      <u/>
      <sz val="10"/>
      <name val="Times New Roman Baltic"/>
      <charset val="186"/>
    </font>
    <font>
      <i/>
      <u/>
      <sz val="10"/>
      <name val="Times New Roman Baltic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0"/>
      <name val="Arial"/>
      <family val="2"/>
      <charset val="186"/>
    </font>
    <font>
      <sz val="9"/>
      <name val="Times New Roman Baltic"/>
      <charset val="186"/>
    </font>
    <font>
      <b/>
      <u/>
      <sz val="10"/>
      <name val="Times New Roman"/>
      <family val="1"/>
      <charset val="204"/>
    </font>
    <font>
      <b/>
      <u/>
      <sz val="10"/>
      <name val="Times New Roman"/>
      <family val="1"/>
    </font>
    <font>
      <b/>
      <sz val="11"/>
      <name val="Times New Roman"/>
      <family val="1"/>
      <charset val="204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6"/>
      <name val="Arial"/>
      <family val="2"/>
      <charset val="186"/>
    </font>
    <font>
      <sz val="6"/>
      <name val="Times New Roman"/>
      <family val="1"/>
      <charset val="204"/>
    </font>
    <font>
      <sz val="6"/>
      <name val="Times New Roman"/>
      <family val="1"/>
    </font>
    <font>
      <sz val="6"/>
      <name val="Times New Roman"/>
      <family val="1"/>
      <charset val="186"/>
    </font>
    <font>
      <sz val="9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37" fillId="0" borderId="0"/>
    <xf numFmtId="0" fontId="26" fillId="0" borderId="0"/>
    <xf numFmtId="0" fontId="42" fillId="0" borderId="0"/>
  </cellStyleXfs>
  <cellXfs count="824">
    <xf numFmtId="0" fontId="0" fillId="0" borderId="0" xfId="0"/>
    <xf numFmtId="0" fontId="2" fillId="0" borderId="0" xfId="0" applyFont="1" applyBorder="1" applyAlignment="1">
      <alignment vertical="top" wrapText="1"/>
    </xf>
    <xf numFmtId="49" fontId="3" fillId="2" borderId="1" xfId="0" applyNumberFormat="1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49" fontId="3" fillId="3" borderId="4" xfId="0" applyNumberFormat="1" applyFont="1" applyFill="1" applyBorder="1" applyAlignment="1">
      <alignment horizontal="center" vertical="top"/>
    </xf>
    <xf numFmtId="49" fontId="3" fillId="2" borderId="5" xfId="0" applyNumberFormat="1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Fill="1" applyBorder="1" applyAlignment="1">
      <alignment vertical="top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center" vertical="top" wrapText="1"/>
    </xf>
    <xf numFmtId="164" fontId="9" fillId="0" borderId="0" xfId="0" applyNumberFormat="1" applyFont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vertical="top" wrapText="1"/>
    </xf>
    <xf numFmtId="0" fontId="13" fillId="0" borderId="0" xfId="0" applyFont="1"/>
    <xf numFmtId="0" fontId="13" fillId="0" borderId="0" xfId="0" applyFont="1" applyFill="1"/>
    <xf numFmtId="164" fontId="16" fillId="0" borderId="0" xfId="0" applyNumberFormat="1" applyFont="1" applyFill="1" applyBorder="1" applyAlignment="1">
      <alignment horizontal="center" vertical="top" wrapText="1"/>
    </xf>
    <xf numFmtId="0" fontId="12" fillId="0" borderId="0" xfId="0" applyFont="1"/>
    <xf numFmtId="0" fontId="17" fillId="0" borderId="0" xfId="0" applyFont="1"/>
    <xf numFmtId="49" fontId="11" fillId="3" borderId="8" xfId="0" applyNumberFormat="1" applyFont="1" applyFill="1" applyBorder="1" applyAlignment="1">
      <alignment horizontal="center" vertical="top"/>
    </xf>
    <xf numFmtId="0" fontId="13" fillId="0" borderId="9" xfId="0" applyFont="1" applyBorder="1" applyAlignment="1">
      <alignment horizontal="left" vertical="top" wrapText="1" indent="2"/>
    </xf>
    <xf numFmtId="49" fontId="3" fillId="2" borderId="5" xfId="0" applyNumberFormat="1" applyFont="1" applyFill="1" applyBorder="1" applyAlignment="1">
      <alignment vertical="top"/>
    </xf>
    <xf numFmtId="49" fontId="11" fillId="2" borderId="2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5" fillId="0" borderId="0" xfId="2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0" borderId="0" xfId="2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wrapText="1"/>
    </xf>
    <xf numFmtId="0" fontId="24" fillId="0" borderId="10" xfId="0" applyFont="1" applyBorder="1" applyAlignment="1">
      <alignment horizontal="center"/>
    </xf>
    <xf numFmtId="49" fontId="23" fillId="0" borderId="10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top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 wrapText="1"/>
    </xf>
    <xf numFmtId="49" fontId="29" fillId="0" borderId="0" xfId="2" applyNumberFormat="1" applyFont="1" applyAlignment="1" applyProtection="1">
      <alignment horizontal="center" vertical="top"/>
    </xf>
    <xf numFmtId="0" fontId="30" fillId="0" borderId="0" xfId="2" applyFont="1"/>
    <xf numFmtId="0" fontId="32" fillId="0" borderId="14" xfId="2" applyFont="1" applyBorder="1" applyAlignment="1">
      <alignment horizontal="left" vertical="top" wrapText="1"/>
    </xf>
    <xf numFmtId="0" fontId="31" fillId="0" borderId="14" xfId="2" applyFont="1" applyBorder="1" applyAlignment="1">
      <alignment horizontal="center" vertical="top"/>
    </xf>
    <xf numFmtId="49" fontId="31" fillId="0" borderId="8" xfId="2" applyNumberFormat="1" applyFont="1" applyBorder="1" applyAlignment="1">
      <alignment horizontal="left"/>
    </xf>
    <xf numFmtId="0" fontId="33" fillId="0" borderId="8" xfId="2" applyFont="1" applyBorder="1" applyAlignment="1">
      <alignment horizontal="left" vertical="top" wrapText="1"/>
    </xf>
    <xf numFmtId="0" fontId="31" fillId="0" borderId="8" xfId="2" applyFont="1" applyBorder="1" applyAlignment="1">
      <alignment horizontal="center" vertical="top"/>
    </xf>
    <xf numFmtId="0" fontId="31" fillId="0" borderId="8" xfId="2" applyFont="1" applyBorder="1" applyAlignment="1">
      <alignment horizontal="left"/>
    </xf>
    <xf numFmtId="0" fontId="31" fillId="0" borderId="8" xfId="2" applyFont="1" applyBorder="1" applyAlignment="1">
      <alignment horizontal="left" vertical="top" wrapText="1"/>
    </xf>
    <xf numFmtId="0" fontId="31" fillId="0" borderId="8" xfId="2" applyFont="1" applyBorder="1" applyAlignment="1">
      <alignment horizontal="center"/>
    </xf>
    <xf numFmtId="0" fontId="34" fillId="0" borderId="8" xfId="2" applyFont="1" applyBorder="1" applyAlignment="1">
      <alignment horizontal="left" vertical="top" wrapText="1"/>
    </xf>
    <xf numFmtId="0" fontId="35" fillId="0" borderId="8" xfId="2" applyFont="1" applyBorder="1" applyAlignment="1">
      <alignment horizontal="left" vertical="top" wrapText="1"/>
    </xf>
    <xf numFmtId="0" fontId="36" fillId="0" borderId="0" xfId="2" applyFont="1" applyBorder="1" applyAlignment="1">
      <alignment horizontal="left" vertical="center" wrapText="1"/>
    </xf>
    <xf numFmtId="0" fontId="35" fillId="0" borderId="8" xfId="2" applyFont="1" applyBorder="1" applyAlignment="1">
      <alignment horizontal="left" vertical="center" wrapText="1"/>
    </xf>
    <xf numFmtId="0" fontId="31" fillId="0" borderId="8" xfId="2" applyFont="1" applyBorder="1" applyAlignment="1">
      <alignment horizontal="center" vertical="center"/>
    </xf>
    <xf numFmtId="0" fontId="31" fillId="0" borderId="8" xfId="2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top"/>
    </xf>
    <xf numFmtId="49" fontId="12" fillId="0" borderId="0" xfId="0" applyNumberFormat="1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/>
    </xf>
    <xf numFmtId="0" fontId="35" fillId="0" borderId="0" xfId="2" applyFont="1"/>
    <xf numFmtId="0" fontId="35" fillId="0" borderId="0" xfId="2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2" applyFont="1" applyAlignment="1">
      <alignment horizontal="center"/>
    </xf>
    <xf numFmtId="0" fontId="17" fillId="0" borderId="0" xfId="0" applyFont="1" applyBorder="1" applyAlignment="1">
      <alignment horizontal="center" vertical="top" wrapText="1"/>
    </xf>
    <xf numFmtId="49" fontId="31" fillId="0" borderId="14" xfId="2" applyNumberFormat="1" applyFont="1" applyBorder="1" applyAlignment="1">
      <alignment horizontal="center"/>
    </xf>
    <xf numFmtId="0" fontId="31" fillId="0" borderId="15" xfId="2" applyFont="1" applyBorder="1" applyAlignment="1">
      <alignment horizontal="center"/>
    </xf>
    <xf numFmtId="0" fontId="36" fillId="0" borderId="8" xfId="2" applyFont="1" applyBorder="1" applyAlignment="1">
      <alignment horizontal="left" vertical="center" wrapText="1"/>
    </xf>
    <xf numFmtId="0" fontId="31" fillId="0" borderId="15" xfId="2" applyFont="1" applyBorder="1" applyAlignment="1">
      <alignment horizontal="center" vertical="top"/>
    </xf>
    <xf numFmtId="0" fontId="12" fillId="0" borderId="8" xfId="0" applyNumberFormat="1" applyFont="1" applyFill="1" applyBorder="1" applyAlignment="1">
      <alignment horizontal="center" vertical="top" wrapText="1"/>
    </xf>
    <xf numFmtId="0" fontId="31" fillId="0" borderId="15" xfId="2" applyFont="1" applyFill="1" applyBorder="1" applyAlignment="1">
      <alignment horizontal="center" vertical="top"/>
    </xf>
    <xf numFmtId="0" fontId="21" fillId="0" borderId="0" xfId="0" applyFont="1" applyBorder="1" applyAlignment="1">
      <alignment vertical="top"/>
    </xf>
    <xf numFmtId="0" fontId="37" fillId="0" borderId="0" xfId="0" applyFont="1"/>
    <xf numFmtId="0" fontId="31" fillId="0" borderId="16" xfId="2" applyFont="1" applyBorder="1" applyAlignment="1">
      <alignment horizontal="left" vertical="top" wrapText="1"/>
    </xf>
    <xf numFmtId="0" fontId="31" fillId="0" borderId="8" xfId="2" applyFont="1" applyFill="1" applyBorder="1" applyAlignment="1">
      <alignment horizontal="center" vertical="top"/>
    </xf>
    <xf numFmtId="0" fontId="35" fillId="0" borderId="15" xfId="2" applyFont="1" applyFill="1" applyBorder="1" applyAlignment="1">
      <alignment horizontal="left" vertical="top" wrapText="1"/>
    </xf>
    <xf numFmtId="0" fontId="12" fillId="0" borderId="8" xfId="0" applyFont="1" applyBorder="1" applyAlignment="1">
      <alignment horizontal="center" vertical="top"/>
    </xf>
    <xf numFmtId="0" fontId="21" fillId="0" borderId="17" xfId="0" applyFont="1" applyBorder="1" applyAlignment="1">
      <alignment horizontal="center" vertical="center" textRotation="90" wrapText="1"/>
    </xf>
    <xf numFmtId="0" fontId="21" fillId="0" borderId="17" xfId="0" applyFont="1" applyFill="1" applyBorder="1" applyAlignment="1">
      <alignment horizontal="center" vertical="center" textRotation="90" wrapText="1"/>
    </xf>
    <xf numFmtId="0" fontId="20" fillId="0" borderId="0" xfId="0" applyFont="1" applyAlignment="1">
      <alignment vertical="top"/>
    </xf>
    <xf numFmtId="0" fontId="6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vertical="top"/>
    </xf>
    <xf numFmtId="0" fontId="37" fillId="0" borderId="0" xfId="0" applyFont="1" applyAlignment="1">
      <alignment horizontal="center"/>
    </xf>
    <xf numFmtId="0" fontId="12" fillId="0" borderId="8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right" vertical="top" wrapText="1"/>
    </xf>
    <xf numFmtId="49" fontId="3" fillId="2" borderId="21" xfId="0" applyNumberFormat="1" applyFont="1" applyFill="1" applyBorder="1" applyAlignment="1">
      <alignment horizontal="center" vertical="top"/>
    </xf>
    <xf numFmtId="164" fontId="37" fillId="0" borderId="0" xfId="0" applyNumberFormat="1" applyFont="1"/>
    <xf numFmtId="164" fontId="6" fillId="0" borderId="0" xfId="0" applyNumberFormat="1" applyFont="1" applyBorder="1" applyAlignment="1">
      <alignment horizontal="center" vertical="top" wrapText="1"/>
    </xf>
    <xf numFmtId="49" fontId="3" fillId="3" borderId="17" xfId="0" applyNumberFormat="1" applyFont="1" applyFill="1" applyBorder="1" applyAlignment="1">
      <alignment horizontal="center" vertical="top"/>
    </xf>
    <xf numFmtId="0" fontId="31" fillId="0" borderId="8" xfId="2" applyFont="1" applyFill="1" applyBorder="1" applyAlignment="1">
      <alignment horizontal="center" vertical="center"/>
    </xf>
    <xf numFmtId="0" fontId="35" fillId="0" borderId="0" xfId="2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38" fillId="0" borderId="8" xfId="2" applyFont="1" applyBorder="1" applyAlignment="1">
      <alignment horizontal="center" vertical="top"/>
    </xf>
    <xf numFmtId="0" fontId="31" fillId="0" borderId="0" xfId="2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5" fillId="0" borderId="16" xfId="2" applyFont="1" applyFill="1" applyBorder="1" applyAlignment="1">
      <alignment vertical="center"/>
    </xf>
    <xf numFmtId="0" fontId="13" fillId="0" borderId="8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horizontal="center" vertical="top"/>
    </xf>
    <xf numFmtId="0" fontId="37" fillId="0" borderId="0" xfId="0" applyFont="1" applyFill="1"/>
    <xf numFmtId="0" fontId="6" fillId="0" borderId="19" xfId="0" applyFont="1" applyFill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18" xfId="0" applyFont="1" applyFill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/>
    </xf>
    <xf numFmtId="0" fontId="6" fillId="0" borderId="23" xfId="0" applyFont="1" applyFill="1" applyBorder="1" applyAlignment="1">
      <alignment horizontal="center" vertical="top"/>
    </xf>
    <xf numFmtId="0" fontId="3" fillId="3" borderId="25" xfId="0" applyFont="1" applyFill="1" applyBorder="1" applyAlignment="1">
      <alignment horizontal="left" vertical="top" wrapText="1"/>
    </xf>
    <xf numFmtId="164" fontId="2" fillId="0" borderId="26" xfId="0" applyNumberFormat="1" applyFont="1" applyFill="1" applyBorder="1" applyAlignment="1">
      <alignment horizontal="right" vertical="top"/>
    </xf>
    <xf numFmtId="164" fontId="2" fillId="0" borderId="27" xfId="0" applyNumberFormat="1" applyFont="1" applyFill="1" applyBorder="1" applyAlignment="1">
      <alignment horizontal="right" vertical="top"/>
    </xf>
    <xf numFmtId="164" fontId="2" fillId="0" borderId="28" xfId="0" applyNumberFormat="1" applyFont="1" applyFill="1" applyBorder="1" applyAlignment="1">
      <alignment horizontal="right" vertical="top"/>
    </xf>
    <xf numFmtId="164" fontId="2" fillId="0" borderId="27" xfId="0" applyNumberFormat="1" applyFont="1" applyBorder="1" applyAlignment="1">
      <alignment horizontal="right" vertical="top"/>
    </xf>
    <xf numFmtId="164" fontId="2" fillId="0" borderId="29" xfId="0" applyNumberFormat="1" applyFont="1" applyFill="1" applyBorder="1" applyAlignment="1">
      <alignment horizontal="right" vertical="top"/>
    </xf>
    <xf numFmtId="164" fontId="2" fillId="0" borderId="30" xfId="0" applyNumberFormat="1" applyFont="1" applyBorder="1" applyAlignment="1">
      <alignment horizontal="right" vertical="top"/>
    </xf>
    <xf numFmtId="164" fontId="2" fillId="0" borderId="31" xfId="0" applyNumberFormat="1" applyFont="1" applyFill="1" applyBorder="1" applyAlignment="1">
      <alignment horizontal="right" vertical="top"/>
    </xf>
    <xf numFmtId="164" fontId="2" fillId="0" borderId="10" xfId="0" applyNumberFormat="1" applyFont="1" applyFill="1" applyBorder="1" applyAlignment="1">
      <alignment horizontal="right" vertical="top"/>
    </xf>
    <xf numFmtId="164" fontId="2" fillId="0" borderId="32" xfId="0" applyNumberFormat="1" applyFont="1" applyFill="1" applyBorder="1" applyAlignment="1">
      <alignment horizontal="right" vertical="top"/>
    </xf>
    <xf numFmtId="164" fontId="2" fillId="0" borderId="11" xfId="0" applyNumberFormat="1" applyFont="1" applyFill="1" applyBorder="1" applyAlignment="1">
      <alignment horizontal="right" vertical="top"/>
    </xf>
    <xf numFmtId="164" fontId="2" fillId="0" borderId="33" xfId="0" applyNumberFormat="1" applyFont="1" applyBorder="1" applyAlignment="1">
      <alignment horizontal="right" vertical="top"/>
    </xf>
    <xf numFmtId="164" fontId="2" fillId="0" borderId="34" xfId="0" applyNumberFormat="1" applyFont="1" applyFill="1" applyBorder="1" applyAlignment="1">
      <alignment horizontal="right" vertical="top"/>
    </xf>
    <xf numFmtId="164" fontId="2" fillId="0" borderId="35" xfId="0" applyNumberFormat="1" applyFont="1" applyFill="1" applyBorder="1" applyAlignment="1">
      <alignment horizontal="right" vertical="top"/>
    </xf>
    <xf numFmtId="164" fontId="2" fillId="0" borderId="36" xfId="0" applyNumberFormat="1" applyFont="1" applyFill="1" applyBorder="1" applyAlignment="1">
      <alignment horizontal="right" vertical="top"/>
    </xf>
    <xf numFmtId="164" fontId="2" fillId="0" borderId="37" xfId="0" applyNumberFormat="1" applyFont="1" applyBorder="1" applyAlignment="1">
      <alignment horizontal="right" vertical="top"/>
    </xf>
    <xf numFmtId="164" fontId="2" fillId="0" borderId="15" xfId="0" applyNumberFormat="1" applyFont="1" applyFill="1" applyBorder="1" applyAlignment="1">
      <alignment horizontal="right" vertical="top"/>
    </xf>
    <xf numFmtId="164" fontId="2" fillId="0" borderId="38" xfId="0" applyNumberFormat="1" applyFont="1" applyFill="1" applyBorder="1" applyAlignment="1">
      <alignment horizontal="right" vertical="top"/>
    </xf>
    <xf numFmtId="164" fontId="2" fillId="0" borderId="15" xfId="0" applyNumberFormat="1" applyFont="1" applyBorder="1" applyAlignment="1">
      <alignment horizontal="right" vertical="top"/>
    </xf>
    <xf numFmtId="164" fontId="2" fillId="0" borderId="39" xfId="0" applyNumberFormat="1" applyFont="1" applyFill="1" applyBorder="1" applyAlignment="1">
      <alignment horizontal="right" vertical="top"/>
    </xf>
    <xf numFmtId="164" fontId="2" fillId="0" borderId="40" xfId="0" applyNumberFormat="1" applyFont="1" applyBorder="1" applyAlignment="1">
      <alignment horizontal="right" vertical="top"/>
    </xf>
    <xf numFmtId="164" fontId="2" fillId="0" borderId="10" xfId="0" applyNumberFormat="1" applyFont="1" applyBorder="1" applyAlignment="1">
      <alignment horizontal="right" vertical="top"/>
    </xf>
    <xf numFmtId="164" fontId="2" fillId="0" borderId="41" xfId="0" applyNumberFormat="1" applyFont="1" applyFill="1" applyBorder="1" applyAlignment="1">
      <alignment horizontal="right" vertical="top"/>
    </xf>
    <xf numFmtId="164" fontId="2" fillId="0" borderId="14" xfId="0" applyNumberFormat="1" applyFont="1" applyFill="1" applyBorder="1" applyAlignment="1">
      <alignment horizontal="right" vertical="top"/>
    </xf>
    <xf numFmtId="164" fontId="2" fillId="0" borderId="14" xfId="0" applyNumberFormat="1" applyFont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164" fontId="2" fillId="0" borderId="11" xfId="0" applyNumberFormat="1" applyFont="1" applyBorder="1" applyAlignment="1">
      <alignment horizontal="right" vertical="top"/>
    </xf>
    <xf numFmtId="164" fontId="2" fillId="0" borderId="33" xfId="0" applyNumberFormat="1" applyFont="1" applyFill="1" applyBorder="1" applyAlignment="1">
      <alignment horizontal="right" vertical="top"/>
    </xf>
    <xf numFmtId="164" fontId="2" fillId="0" borderId="8" xfId="0" applyNumberFormat="1" applyFont="1" applyFill="1" applyBorder="1" applyAlignment="1">
      <alignment horizontal="right" vertical="top"/>
    </xf>
    <xf numFmtId="164" fontId="2" fillId="0" borderId="42" xfId="0" applyNumberFormat="1" applyFont="1" applyFill="1" applyBorder="1" applyAlignment="1">
      <alignment horizontal="right" vertical="top"/>
    </xf>
    <xf numFmtId="164" fontId="2" fillId="0" borderId="22" xfId="0" applyNumberFormat="1" applyFont="1" applyFill="1" applyBorder="1" applyAlignment="1">
      <alignment horizontal="right" vertical="top"/>
    </xf>
    <xf numFmtId="164" fontId="2" fillId="0" borderId="43" xfId="0" applyNumberFormat="1" applyFont="1" applyBorder="1" applyAlignment="1">
      <alignment horizontal="right" vertical="top"/>
    </xf>
    <xf numFmtId="164" fontId="2" fillId="0" borderId="44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Border="1" applyAlignment="1">
      <alignment horizontal="right" vertical="top"/>
    </xf>
    <xf numFmtId="164" fontId="3" fillId="0" borderId="27" xfId="0" applyNumberFormat="1" applyFont="1" applyFill="1" applyBorder="1" applyAlignment="1">
      <alignment horizontal="right" vertical="top"/>
    </xf>
    <xf numFmtId="164" fontId="3" fillId="0" borderId="28" xfId="0" applyNumberFormat="1" applyFont="1" applyFill="1" applyBorder="1" applyAlignment="1">
      <alignment horizontal="right" vertical="top"/>
    </xf>
    <xf numFmtId="164" fontId="2" fillId="0" borderId="45" xfId="0" applyNumberFormat="1" applyFont="1" applyFill="1" applyBorder="1" applyAlignment="1">
      <alignment horizontal="right" vertical="top"/>
    </xf>
    <xf numFmtId="164" fontId="2" fillId="0" borderId="30" xfId="0" applyNumberFormat="1" applyFont="1" applyFill="1" applyBorder="1" applyAlignment="1">
      <alignment horizontal="right" vertical="top" wrapText="1"/>
    </xf>
    <xf numFmtId="164" fontId="2" fillId="0" borderId="16" xfId="0" applyNumberFormat="1" applyFont="1" applyFill="1" applyBorder="1" applyAlignment="1">
      <alignment horizontal="right" vertical="top"/>
    </xf>
    <xf numFmtId="164" fontId="2" fillId="0" borderId="43" xfId="0" applyNumberFormat="1" applyFont="1" applyFill="1" applyBorder="1" applyAlignment="1">
      <alignment horizontal="right" vertical="top" wrapText="1"/>
    </xf>
    <xf numFmtId="164" fontId="2" fillId="0" borderId="13" xfId="0" applyNumberFormat="1" applyFont="1" applyFill="1" applyBorder="1" applyAlignment="1">
      <alignment horizontal="right" vertical="top"/>
    </xf>
    <xf numFmtId="164" fontId="2" fillId="0" borderId="33" xfId="0" applyNumberFormat="1" applyFont="1" applyFill="1" applyBorder="1" applyAlignment="1">
      <alignment horizontal="right" vertical="top" wrapText="1"/>
    </xf>
    <xf numFmtId="164" fontId="2" fillId="0" borderId="19" xfId="0" applyNumberFormat="1" applyFont="1" applyFill="1" applyBorder="1" applyAlignment="1">
      <alignment horizontal="right" vertical="top"/>
    </xf>
    <xf numFmtId="164" fontId="3" fillId="0" borderId="33" xfId="0" applyNumberFormat="1" applyFont="1" applyFill="1" applyBorder="1" applyAlignment="1">
      <alignment horizontal="right" vertical="top"/>
    </xf>
    <xf numFmtId="164" fontId="12" fillId="0" borderId="27" xfId="0" applyNumberFormat="1" applyFont="1" applyFill="1" applyBorder="1" applyAlignment="1">
      <alignment horizontal="right" vertical="top"/>
    </xf>
    <xf numFmtId="164" fontId="12" fillId="0" borderId="28" xfId="0" applyNumberFormat="1" applyFont="1" applyFill="1" applyBorder="1" applyAlignment="1">
      <alignment horizontal="right" vertical="top"/>
    </xf>
    <xf numFmtId="164" fontId="3" fillId="3" borderId="5" xfId="0" applyNumberFormat="1" applyFont="1" applyFill="1" applyBorder="1" applyAlignment="1">
      <alignment horizontal="right" vertical="center"/>
    </xf>
    <xf numFmtId="164" fontId="12" fillId="0" borderId="26" xfId="0" applyNumberFormat="1" applyFont="1" applyFill="1" applyBorder="1" applyAlignment="1">
      <alignment horizontal="right" vertical="top"/>
    </xf>
    <xf numFmtId="164" fontId="12" fillId="0" borderId="27" xfId="0" applyNumberFormat="1" applyFont="1" applyBorder="1" applyAlignment="1">
      <alignment horizontal="right" vertical="top"/>
    </xf>
    <xf numFmtId="164" fontId="12" fillId="0" borderId="28" xfId="0" applyNumberFormat="1" applyFont="1" applyBorder="1" applyAlignment="1">
      <alignment horizontal="right" vertical="top"/>
    </xf>
    <xf numFmtId="164" fontId="12" fillId="0" borderId="23" xfId="0" applyNumberFormat="1" applyFont="1" applyFill="1" applyBorder="1" applyAlignment="1">
      <alignment horizontal="right" vertical="top" wrapText="1"/>
    </xf>
    <xf numFmtId="164" fontId="12" fillId="0" borderId="30" xfId="0" applyNumberFormat="1" applyFont="1" applyFill="1" applyBorder="1" applyAlignment="1">
      <alignment horizontal="right" vertical="top" wrapText="1"/>
    </xf>
    <xf numFmtId="164" fontId="12" fillId="0" borderId="31" xfId="0" applyNumberFormat="1" applyFont="1" applyFill="1" applyBorder="1" applyAlignment="1">
      <alignment horizontal="right" vertical="top"/>
    </xf>
    <xf numFmtId="164" fontId="12" fillId="0" borderId="8" xfId="0" applyNumberFormat="1" applyFont="1" applyFill="1" applyBorder="1" applyAlignment="1">
      <alignment horizontal="right" vertical="top"/>
    </xf>
    <xf numFmtId="164" fontId="12" fillId="0" borderId="42" xfId="0" applyNumberFormat="1" applyFont="1" applyFill="1" applyBorder="1" applyAlignment="1">
      <alignment horizontal="right" vertical="top"/>
    </xf>
    <xf numFmtId="164" fontId="12" fillId="0" borderId="43" xfId="0" applyNumberFormat="1" applyFont="1" applyFill="1" applyBorder="1" applyAlignment="1">
      <alignment horizontal="right" vertical="top" wrapText="1"/>
    </xf>
    <xf numFmtId="164" fontId="12" fillId="0" borderId="46" xfId="0" applyNumberFormat="1" applyFont="1" applyFill="1" applyBorder="1" applyAlignment="1">
      <alignment horizontal="right" vertical="top"/>
    </xf>
    <xf numFmtId="164" fontId="12" fillId="0" borderId="47" xfId="0" applyNumberFormat="1" applyFont="1" applyFill="1" applyBorder="1" applyAlignment="1">
      <alignment horizontal="right" vertical="top"/>
    </xf>
    <xf numFmtId="164" fontId="12" fillId="0" borderId="48" xfId="0" applyNumberFormat="1" applyFont="1" applyFill="1" applyBorder="1" applyAlignment="1">
      <alignment horizontal="right" vertical="top"/>
    </xf>
    <xf numFmtId="164" fontId="12" fillId="0" borderId="49" xfId="0" applyNumberFormat="1" applyFont="1" applyFill="1" applyBorder="1" applyAlignment="1">
      <alignment horizontal="right" vertical="top"/>
    </xf>
    <xf numFmtId="164" fontId="12" fillId="0" borderId="1" xfId="0" applyNumberFormat="1" applyFont="1" applyFill="1" applyBorder="1" applyAlignment="1">
      <alignment horizontal="right" vertical="top"/>
    </xf>
    <xf numFmtId="164" fontId="12" fillId="0" borderId="15" xfId="0" applyNumberFormat="1" applyFont="1" applyFill="1" applyBorder="1" applyAlignment="1">
      <alignment horizontal="right" vertical="top"/>
    </xf>
    <xf numFmtId="164" fontId="12" fillId="0" borderId="38" xfId="0" applyNumberFormat="1" applyFont="1" applyFill="1" applyBorder="1" applyAlignment="1">
      <alignment horizontal="right" vertical="top"/>
    </xf>
    <xf numFmtId="164" fontId="12" fillId="0" borderId="50" xfId="0" applyNumberFormat="1" applyFont="1" applyFill="1" applyBorder="1" applyAlignment="1">
      <alignment horizontal="right" vertical="top"/>
    </xf>
    <xf numFmtId="164" fontId="12" fillId="0" borderId="18" xfId="0" applyNumberFormat="1" applyFont="1" applyFill="1" applyBorder="1" applyAlignment="1">
      <alignment horizontal="right" vertical="top" wrapText="1"/>
    </xf>
    <xf numFmtId="164" fontId="12" fillId="0" borderId="40" xfId="0" applyNumberFormat="1" applyFont="1" applyFill="1" applyBorder="1" applyAlignment="1">
      <alignment horizontal="right" vertical="top"/>
    </xf>
    <xf numFmtId="164" fontId="12" fillId="0" borderId="45" xfId="0" applyNumberFormat="1" applyFont="1" applyFill="1" applyBorder="1" applyAlignment="1">
      <alignment horizontal="right" vertical="top"/>
    </xf>
    <xf numFmtId="164" fontId="12" fillId="0" borderId="16" xfId="0" applyNumberFormat="1" applyFont="1" applyFill="1" applyBorder="1" applyAlignment="1">
      <alignment horizontal="right" vertical="top"/>
    </xf>
    <xf numFmtId="164" fontId="12" fillId="0" borderId="33" xfId="0" applyNumberFormat="1" applyFont="1" applyFill="1" applyBorder="1" applyAlignment="1">
      <alignment horizontal="right" vertical="top" wrapText="1"/>
    </xf>
    <xf numFmtId="164" fontId="12" fillId="0" borderId="13" xfId="0" applyNumberFormat="1" applyFont="1" applyFill="1" applyBorder="1" applyAlignment="1">
      <alignment horizontal="right" vertical="top"/>
    </xf>
    <xf numFmtId="164" fontId="11" fillId="0" borderId="27" xfId="0" applyNumberFormat="1" applyFont="1" applyFill="1" applyBorder="1" applyAlignment="1">
      <alignment horizontal="right" vertical="top"/>
    </xf>
    <xf numFmtId="164" fontId="12" fillId="0" borderId="30" xfId="0" applyNumberFormat="1" applyFont="1" applyFill="1" applyBorder="1" applyAlignment="1">
      <alignment horizontal="right" vertical="top"/>
    </xf>
    <xf numFmtId="164" fontId="11" fillId="0" borderId="8" xfId="0" applyNumberFormat="1" applyFont="1" applyFill="1" applyBorder="1" applyAlignment="1">
      <alignment horizontal="right" vertical="top"/>
    </xf>
    <xf numFmtId="164" fontId="12" fillId="0" borderId="43" xfId="0" applyNumberFormat="1" applyFont="1" applyFill="1" applyBorder="1" applyAlignment="1">
      <alignment horizontal="right" vertical="top"/>
    </xf>
    <xf numFmtId="164" fontId="11" fillId="0" borderId="28" xfId="0" applyNumberFormat="1" applyFont="1" applyFill="1" applyBorder="1" applyAlignment="1">
      <alignment horizontal="right" vertical="top"/>
    </xf>
    <xf numFmtId="164" fontId="12" fillId="0" borderId="10" xfId="0" applyNumberFormat="1" applyFont="1" applyBorder="1" applyAlignment="1">
      <alignment horizontal="right" vertical="top"/>
    </xf>
    <xf numFmtId="164" fontId="12" fillId="0" borderId="11" xfId="0" applyNumberFormat="1" applyFont="1" applyBorder="1" applyAlignment="1">
      <alignment horizontal="right" vertical="top"/>
    </xf>
    <xf numFmtId="164" fontId="12" fillId="0" borderId="30" xfId="0" applyNumberFormat="1" applyFont="1" applyBorder="1" applyAlignment="1">
      <alignment horizontal="right" vertical="top"/>
    </xf>
    <xf numFmtId="164" fontId="12" fillId="0" borderId="10" xfId="0" applyNumberFormat="1" applyFont="1" applyFill="1" applyBorder="1" applyAlignment="1">
      <alignment horizontal="right" vertical="top"/>
    </xf>
    <xf numFmtId="164" fontId="12" fillId="0" borderId="32" xfId="0" applyNumberFormat="1" applyFont="1" applyFill="1" applyBorder="1" applyAlignment="1">
      <alignment horizontal="right" vertical="top"/>
    </xf>
    <xf numFmtId="164" fontId="12" fillId="0" borderId="33" xfId="0" applyNumberFormat="1" applyFont="1" applyBorder="1" applyAlignment="1">
      <alignment horizontal="right" vertical="top"/>
    </xf>
    <xf numFmtId="164" fontId="12" fillId="0" borderId="29" xfId="0" applyNumberFormat="1" applyFont="1" applyFill="1" applyBorder="1" applyAlignment="1">
      <alignment horizontal="right" vertical="top"/>
    </xf>
    <xf numFmtId="164" fontId="12" fillId="0" borderId="22" xfId="0" applyNumberFormat="1" applyFont="1" applyFill="1" applyBorder="1" applyAlignment="1">
      <alignment horizontal="right" vertical="top"/>
    </xf>
    <xf numFmtId="164" fontId="12" fillId="0" borderId="23" xfId="0" applyNumberFormat="1" applyFont="1" applyBorder="1" applyAlignment="1">
      <alignment horizontal="right" vertical="top"/>
    </xf>
    <xf numFmtId="164" fontId="12" fillId="0" borderId="18" xfId="0" applyNumberFormat="1" applyFont="1" applyBorder="1" applyAlignment="1">
      <alignment horizontal="right" vertical="top"/>
    </xf>
    <xf numFmtId="164" fontId="12" fillId="0" borderId="40" xfId="0" applyNumberFormat="1" applyFont="1" applyBorder="1" applyAlignment="1">
      <alignment horizontal="right" vertical="top"/>
    </xf>
    <xf numFmtId="164" fontId="12" fillId="0" borderId="15" xfId="0" applyNumberFormat="1" applyFont="1" applyBorder="1" applyAlignment="1">
      <alignment horizontal="right" vertical="top"/>
    </xf>
    <xf numFmtId="164" fontId="12" fillId="0" borderId="38" xfId="0" applyNumberFormat="1" applyFont="1" applyBorder="1" applyAlignment="1">
      <alignment horizontal="right" vertical="top"/>
    </xf>
    <xf numFmtId="164" fontId="12" fillId="4" borderId="51" xfId="0" applyNumberFormat="1" applyFont="1" applyFill="1" applyBorder="1" applyAlignment="1">
      <alignment horizontal="right" vertical="top" wrapText="1"/>
    </xf>
    <xf numFmtId="164" fontId="12" fillId="4" borderId="40" xfId="0" applyNumberFormat="1" applyFont="1" applyFill="1" applyBorder="1" applyAlignment="1">
      <alignment horizontal="right" vertical="top" wrapText="1"/>
    </xf>
    <xf numFmtId="164" fontId="12" fillId="0" borderId="26" xfId="0" applyNumberFormat="1" applyFont="1" applyFill="1" applyBorder="1" applyAlignment="1">
      <alignment horizontal="center" vertical="top"/>
    </xf>
    <xf numFmtId="164" fontId="12" fillId="0" borderId="27" xfId="0" applyNumberFormat="1" applyFont="1" applyFill="1" applyBorder="1" applyAlignment="1">
      <alignment horizontal="center" vertical="top"/>
    </xf>
    <xf numFmtId="164" fontId="12" fillId="0" borderId="28" xfId="0" applyNumberFormat="1" applyFont="1" applyFill="1" applyBorder="1" applyAlignment="1">
      <alignment horizontal="center" vertical="top"/>
    </xf>
    <xf numFmtId="164" fontId="12" fillId="0" borderId="23" xfId="0" applyNumberFormat="1" applyFont="1" applyBorder="1" applyAlignment="1">
      <alignment horizontal="center" vertical="top"/>
    </xf>
    <xf numFmtId="164" fontId="12" fillId="0" borderId="30" xfId="0" applyNumberFormat="1" applyFont="1" applyBorder="1" applyAlignment="1">
      <alignment horizontal="center" vertical="top"/>
    </xf>
    <xf numFmtId="164" fontId="12" fillId="0" borderId="31" xfId="0" applyNumberFormat="1" applyFont="1" applyFill="1" applyBorder="1" applyAlignment="1">
      <alignment horizontal="center" vertical="top"/>
    </xf>
    <xf numFmtId="164" fontId="12" fillId="0" borderId="8" xfId="0" applyNumberFormat="1" applyFont="1" applyFill="1" applyBorder="1" applyAlignment="1">
      <alignment horizontal="center" vertical="top"/>
    </xf>
    <xf numFmtId="164" fontId="12" fillId="0" borderId="42" xfId="0" applyNumberFormat="1" applyFont="1" applyFill="1" applyBorder="1" applyAlignment="1">
      <alignment horizontal="center" vertical="top"/>
    </xf>
    <xf numFmtId="164" fontId="12" fillId="0" borderId="24" xfId="0" applyNumberFormat="1" applyFont="1" applyBorder="1" applyAlignment="1">
      <alignment horizontal="center" vertical="top"/>
    </xf>
    <xf numFmtId="164" fontId="12" fillId="0" borderId="43" xfId="0" applyNumberFormat="1" applyFont="1" applyBorder="1" applyAlignment="1">
      <alignment horizontal="center" vertical="top"/>
    </xf>
    <xf numFmtId="164" fontId="11" fillId="5" borderId="21" xfId="0" applyNumberFormat="1" applyFont="1" applyFill="1" applyBorder="1" applyAlignment="1">
      <alignment horizontal="center" vertical="top"/>
    </xf>
    <xf numFmtId="164" fontId="11" fillId="5" borderId="52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vertical="top" wrapText="1"/>
    </xf>
    <xf numFmtId="49" fontId="4" fillId="0" borderId="53" xfId="0" applyNumberFormat="1" applyFont="1" applyFill="1" applyBorder="1" applyAlignment="1">
      <alignment vertical="top" wrapText="1"/>
    </xf>
    <xf numFmtId="49" fontId="13" fillId="0" borderId="24" xfId="0" applyNumberFormat="1" applyFont="1" applyFill="1" applyBorder="1" applyAlignment="1">
      <alignment vertical="top" wrapText="1"/>
    </xf>
    <xf numFmtId="49" fontId="6" fillId="0" borderId="24" xfId="0" applyNumberFormat="1" applyFont="1" applyFill="1" applyBorder="1" applyAlignment="1">
      <alignment vertical="top" wrapText="1"/>
    </xf>
    <xf numFmtId="49" fontId="4" fillId="0" borderId="54" xfId="0" applyNumberFormat="1" applyFont="1" applyFill="1" applyBorder="1" applyAlignment="1">
      <alignment vertical="top" wrapText="1"/>
    </xf>
    <xf numFmtId="164" fontId="2" fillId="4" borderId="14" xfId="0" applyNumberFormat="1" applyFont="1" applyFill="1" applyBorder="1" applyAlignment="1">
      <alignment horizontal="right" vertical="top"/>
    </xf>
    <xf numFmtId="164" fontId="2" fillId="4" borderId="36" xfId="0" applyNumberFormat="1" applyFont="1" applyFill="1" applyBorder="1" applyAlignment="1">
      <alignment horizontal="right" vertical="top"/>
    </xf>
    <xf numFmtId="164" fontId="2" fillId="4" borderId="10" xfId="0" applyNumberFormat="1" applyFont="1" applyFill="1" applyBorder="1" applyAlignment="1">
      <alignment horizontal="right" vertical="top"/>
    </xf>
    <xf numFmtId="164" fontId="2" fillId="4" borderId="31" xfId="0" applyNumberFormat="1" applyFont="1" applyFill="1" applyBorder="1" applyAlignment="1">
      <alignment horizontal="right" vertical="top"/>
    </xf>
    <xf numFmtId="164" fontId="2" fillId="4" borderId="32" xfId="0" applyNumberFormat="1" applyFont="1" applyFill="1" applyBorder="1" applyAlignment="1">
      <alignment horizontal="right" vertical="top"/>
    </xf>
    <xf numFmtId="164" fontId="2" fillId="4" borderId="27" xfId="0" applyNumberFormat="1" applyFont="1" applyFill="1" applyBorder="1" applyAlignment="1">
      <alignment horizontal="right" vertical="top"/>
    </xf>
    <xf numFmtId="164" fontId="2" fillId="4" borderId="28" xfId="0" applyNumberFormat="1" applyFont="1" applyFill="1" applyBorder="1" applyAlignment="1">
      <alignment horizontal="right" vertical="top"/>
    </xf>
    <xf numFmtId="164" fontId="2" fillId="4" borderId="30" xfId="0" applyNumberFormat="1" applyFont="1" applyFill="1" applyBorder="1" applyAlignment="1">
      <alignment horizontal="right" vertical="top"/>
    </xf>
    <xf numFmtId="164" fontId="2" fillId="4" borderId="33" xfId="0" applyNumberFormat="1" applyFont="1" applyFill="1" applyBorder="1" applyAlignment="1">
      <alignment horizontal="right" vertical="top"/>
    </xf>
    <xf numFmtId="164" fontId="2" fillId="4" borderId="37" xfId="0" applyNumberFormat="1" applyFont="1" applyFill="1" applyBorder="1" applyAlignment="1">
      <alignment horizontal="right" vertical="top"/>
    </xf>
    <xf numFmtId="49" fontId="4" fillId="0" borderId="24" xfId="0" applyNumberFormat="1" applyFont="1" applyFill="1" applyBorder="1" applyAlignment="1">
      <alignment vertical="top" wrapText="1"/>
    </xf>
    <xf numFmtId="0" fontId="6" fillId="4" borderId="30" xfId="0" applyFont="1" applyFill="1" applyBorder="1" applyAlignment="1">
      <alignment horizontal="center" vertical="top" wrapText="1"/>
    </xf>
    <xf numFmtId="0" fontId="6" fillId="4" borderId="33" xfId="0" applyFont="1" applyFill="1" applyBorder="1" applyAlignment="1">
      <alignment horizontal="center" vertical="top" wrapText="1"/>
    </xf>
    <xf numFmtId="0" fontId="6" fillId="4" borderId="37" xfId="0" applyFont="1" applyFill="1" applyBorder="1" applyAlignment="1">
      <alignment horizontal="center" vertical="top" wrapText="1"/>
    </xf>
    <xf numFmtId="164" fontId="2" fillId="4" borderId="43" xfId="0" applyNumberFormat="1" applyFont="1" applyFill="1" applyBorder="1" applyAlignment="1">
      <alignment horizontal="right" vertical="top"/>
    </xf>
    <xf numFmtId="164" fontId="2" fillId="4" borderId="15" xfId="0" applyNumberFormat="1" applyFont="1" applyFill="1" applyBorder="1" applyAlignment="1">
      <alignment horizontal="right" vertical="top"/>
    </xf>
    <xf numFmtId="164" fontId="2" fillId="4" borderId="38" xfId="0" applyNumberFormat="1" applyFont="1" applyFill="1" applyBorder="1" applyAlignment="1">
      <alignment horizontal="right" vertical="top"/>
    </xf>
    <xf numFmtId="164" fontId="2" fillId="4" borderId="40" xfId="0" applyNumberFormat="1" applyFont="1" applyFill="1" applyBorder="1" applyAlignment="1">
      <alignment horizontal="right" vertical="top"/>
    </xf>
    <xf numFmtId="164" fontId="2" fillId="0" borderId="44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164" fontId="3" fillId="0" borderId="44" xfId="0" applyNumberFormat="1" applyFont="1" applyFill="1" applyBorder="1" applyAlignment="1">
      <alignment vertical="top" wrapText="1"/>
    </xf>
    <xf numFmtId="164" fontId="18" fillId="0" borderId="44" xfId="0" applyNumberFormat="1" applyFont="1" applyBorder="1" applyAlignment="1">
      <alignment vertical="top" wrapText="1"/>
    </xf>
    <xf numFmtId="164" fontId="18" fillId="0" borderId="0" xfId="0" applyNumberFormat="1" applyFont="1" applyBorder="1" applyAlignment="1">
      <alignment vertical="top" wrapText="1"/>
    </xf>
    <xf numFmtId="164" fontId="2" fillId="0" borderId="44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vertical="top" wrapText="1"/>
    </xf>
    <xf numFmtId="164" fontId="4" fillId="0" borderId="44" xfId="0" applyNumberFormat="1" applyFont="1" applyFill="1" applyBorder="1" applyAlignment="1">
      <alignment vertical="top" wrapText="1"/>
    </xf>
    <xf numFmtId="164" fontId="4" fillId="0" borderId="0" xfId="0" applyNumberFormat="1" applyFont="1" applyFill="1" applyBorder="1" applyAlignment="1">
      <alignment vertical="top" wrapText="1"/>
    </xf>
    <xf numFmtId="164" fontId="13" fillId="0" borderId="40" xfId="0" applyNumberFormat="1" applyFont="1" applyBorder="1" applyAlignment="1">
      <alignment horizontal="right" vertical="top" wrapText="1"/>
    </xf>
    <xf numFmtId="164" fontId="13" fillId="0" borderId="50" xfId="0" applyNumberFormat="1" applyFont="1" applyBorder="1" applyAlignment="1">
      <alignment horizontal="right" vertical="top" wrapText="1"/>
    </xf>
    <xf numFmtId="164" fontId="13" fillId="0" borderId="18" xfId="0" applyNumberFormat="1" applyFont="1" applyBorder="1" applyAlignment="1">
      <alignment horizontal="right" vertical="top" wrapText="1"/>
    </xf>
    <xf numFmtId="164" fontId="13" fillId="0" borderId="55" xfId="0" applyNumberFormat="1" applyFont="1" applyBorder="1" applyAlignment="1">
      <alignment horizontal="right" vertical="top" wrapText="1"/>
    </xf>
    <xf numFmtId="164" fontId="13" fillId="0" borderId="56" xfId="0" applyNumberFormat="1" applyFont="1" applyBorder="1" applyAlignment="1">
      <alignment horizontal="right" vertical="top" wrapText="1"/>
    </xf>
    <xf numFmtId="164" fontId="13" fillId="0" borderId="57" xfId="0" applyNumberFormat="1" applyFont="1" applyBorder="1" applyAlignment="1">
      <alignment horizontal="right" vertical="top"/>
    </xf>
    <xf numFmtId="0" fontId="14" fillId="0" borderId="0" xfId="0" applyFont="1" applyAlignment="1">
      <alignment horizontal="right"/>
    </xf>
    <xf numFmtId="164" fontId="20" fillId="0" borderId="40" xfId="0" applyNumberFormat="1" applyFont="1" applyBorder="1" applyAlignment="1">
      <alignment horizontal="right" vertical="top" wrapText="1"/>
    </xf>
    <xf numFmtId="49" fontId="4" fillId="0" borderId="58" xfId="0" applyNumberFormat="1" applyFont="1" applyFill="1" applyBorder="1" applyAlignment="1">
      <alignment horizontal="left" vertical="top" wrapText="1"/>
    </xf>
    <xf numFmtId="164" fontId="12" fillId="0" borderId="29" xfId="0" applyNumberFormat="1" applyFont="1" applyBorder="1" applyAlignment="1">
      <alignment horizontal="right" vertical="top"/>
    </xf>
    <xf numFmtId="164" fontId="12" fillId="0" borderId="11" xfId="0" applyNumberFormat="1" applyFont="1" applyFill="1" applyBorder="1" applyAlignment="1">
      <alignment horizontal="right" vertical="top"/>
    </xf>
    <xf numFmtId="164" fontId="12" fillId="0" borderId="0" xfId="0" applyNumberFormat="1" applyFont="1" applyFill="1" applyBorder="1" applyAlignment="1">
      <alignment horizontal="right" vertical="top"/>
    </xf>
    <xf numFmtId="164" fontId="2" fillId="4" borderId="41" xfId="0" applyNumberFormat="1" applyFont="1" applyFill="1" applyBorder="1" applyAlignment="1">
      <alignment horizontal="right" vertical="top"/>
    </xf>
    <xf numFmtId="164" fontId="2" fillId="4" borderId="13" xfId="0" applyNumberFormat="1" applyFont="1" applyFill="1" applyBorder="1" applyAlignment="1">
      <alignment horizontal="right" vertical="top"/>
    </xf>
    <xf numFmtId="0" fontId="6" fillId="4" borderId="40" xfId="0" applyFont="1" applyFill="1" applyBorder="1" applyAlignment="1">
      <alignment horizontal="center" vertical="top" wrapText="1"/>
    </xf>
    <xf numFmtId="0" fontId="6" fillId="4" borderId="59" xfId="0" applyFont="1" applyFill="1" applyBorder="1" applyAlignment="1">
      <alignment horizontal="center" vertical="top" wrapText="1"/>
    </xf>
    <xf numFmtId="0" fontId="6" fillId="4" borderId="60" xfId="0" applyFont="1" applyFill="1" applyBorder="1" applyAlignment="1">
      <alignment horizontal="center" vertical="top" wrapText="1"/>
    </xf>
    <xf numFmtId="0" fontId="6" fillId="4" borderId="34" xfId="0" applyFont="1" applyFill="1" applyBorder="1" applyAlignment="1">
      <alignment horizontal="center" vertical="top" wrapText="1"/>
    </xf>
    <xf numFmtId="164" fontId="11" fillId="3" borderId="5" xfId="0" applyNumberFormat="1" applyFont="1" applyFill="1" applyBorder="1" applyAlignment="1">
      <alignment horizontal="right" vertical="top"/>
    </xf>
    <xf numFmtId="164" fontId="12" fillId="0" borderId="54" xfId="0" applyNumberFormat="1" applyFont="1" applyFill="1" applyBorder="1" applyAlignment="1">
      <alignment horizontal="right" vertical="top" wrapText="1"/>
    </xf>
    <xf numFmtId="164" fontId="12" fillId="0" borderId="51" xfId="0" applyNumberFormat="1" applyFont="1" applyFill="1" applyBorder="1" applyAlignment="1">
      <alignment horizontal="right" vertical="top" wrapText="1"/>
    </xf>
    <xf numFmtId="164" fontId="12" fillId="0" borderId="59" xfId="0" applyNumberFormat="1" applyFont="1" applyBorder="1" applyAlignment="1">
      <alignment horizontal="right" vertical="top"/>
    </xf>
    <xf numFmtId="164" fontId="12" fillId="0" borderId="60" xfId="0" applyNumberFormat="1" applyFont="1" applyFill="1" applyBorder="1" applyAlignment="1">
      <alignment horizontal="right" vertical="top"/>
    </xf>
    <xf numFmtId="164" fontId="12" fillId="0" borderId="51" xfId="0" applyNumberFormat="1" applyFont="1" applyFill="1" applyBorder="1" applyAlignment="1">
      <alignment horizontal="right" vertical="top"/>
    </xf>
    <xf numFmtId="0" fontId="14" fillId="0" borderId="53" xfId="0" applyFont="1" applyBorder="1" applyAlignment="1">
      <alignment vertical="top"/>
    </xf>
    <xf numFmtId="0" fontId="14" fillId="0" borderId="24" xfId="3" applyFont="1" applyFill="1" applyBorder="1" applyAlignment="1">
      <alignment vertical="top" wrapText="1"/>
    </xf>
    <xf numFmtId="0" fontId="6" fillId="0" borderId="33" xfId="0" applyFont="1" applyFill="1" applyBorder="1" applyAlignment="1">
      <alignment horizontal="center" vertical="top"/>
    </xf>
    <xf numFmtId="0" fontId="6" fillId="0" borderId="33" xfId="0" applyFont="1" applyBorder="1" applyAlignment="1">
      <alignment horizontal="center" vertical="top"/>
    </xf>
    <xf numFmtId="0" fontId="6" fillId="0" borderId="33" xfId="0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center" vertical="top" wrapText="1"/>
    </xf>
    <xf numFmtId="0" fontId="6" fillId="0" borderId="40" xfId="0" applyFont="1" applyFill="1" applyBorder="1" applyAlignment="1">
      <alignment horizontal="center" vertical="top"/>
    </xf>
    <xf numFmtId="0" fontId="6" fillId="0" borderId="40" xfId="0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center" vertical="top"/>
    </xf>
    <xf numFmtId="0" fontId="6" fillId="0" borderId="43" xfId="0" applyFont="1" applyFill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6" fillId="0" borderId="43" xfId="0" applyFont="1" applyFill="1" applyBorder="1" applyAlignment="1">
      <alignment vertical="top" wrapText="1"/>
    </xf>
    <xf numFmtId="0" fontId="6" fillId="0" borderId="6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/>
    </xf>
    <xf numFmtId="0" fontId="6" fillId="0" borderId="49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center" vertical="top" wrapText="1"/>
    </xf>
    <xf numFmtId="0" fontId="20" fillId="0" borderId="59" xfId="0" applyFont="1" applyFill="1" applyBorder="1" applyAlignment="1">
      <alignment horizontal="center" vertical="top" wrapText="1"/>
    </xf>
    <xf numFmtId="0" fontId="20" fillId="0" borderId="44" xfId="0" applyFont="1" applyFill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 wrapText="1"/>
    </xf>
    <xf numFmtId="164" fontId="2" fillId="0" borderId="23" xfId="0" applyNumberFormat="1" applyFont="1" applyFill="1" applyBorder="1" applyAlignment="1">
      <alignment horizontal="right" vertical="top"/>
    </xf>
    <xf numFmtId="164" fontId="3" fillId="0" borderId="30" xfId="0" applyNumberFormat="1" applyFont="1" applyFill="1" applyBorder="1" applyAlignment="1">
      <alignment horizontal="right" vertical="top"/>
    </xf>
    <xf numFmtId="164" fontId="20" fillId="0" borderId="40" xfId="0" applyNumberFormat="1" applyFont="1" applyFill="1" applyBorder="1" applyAlignment="1">
      <alignment horizontal="center" vertical="top" wrapText="1"/>
    </xf>
    <xf numFmtId="164" fontId="2" fillId="0" borderId="50" xfId="0" applyNumberFormat="1" applyFont="1" applyFill="1" applyBorder="1" applyAlignment="1">
      <alignment horizontal="right" vertical="top"/>
    </xf>
    <xf numFmtId="164" fontId="2" fillId="0" borderId="24" xfId="0" applyNumberFormat="1" applyFont="1" applyFill="1" applyBorder="1" applyAlignment="1">
      <alignment horizontal="right" vertical="top"/>
    </xf>
    <xf numFmtId="164" fontId="3" fillId="0" borderId="43" xfId="0" applyNumberFormat="1" applyFont="1" applyFill="1" applyBorder="1" applyAlignment="1">
      <alignment horizontal="right" vertical="top"/>
    </xf>
    <xf numFmtId="164" fontId="12" fillId="4" borderId="23" xfId="0" applyNumberFormat="1" applyFont="1" applyFill="1" applyBorder="1" applyAlignment="1">
      <alignment horizontal="right" vertical="top" wrapText="1"/>
    </xf>
    <xf numFmtId="164" fontId="12" fillId="4" borderId="30" xfId="0" applyNumberFormat="1" applyFont="1" applyFill="1" applyBorder="1" applyAlignment="1">
      <alignment horizontal="right" vertical="top" wrapText="1"/>
    </xf>
    <xf numFmtId="164" fontId="12" fillId="0" borderId="39" xfId="0" applyNumberFormat="1" applyFont="1" applyFill="1" applyBorder="1" applyAlignment="1">
      <alignment horizontal="right" vertical="top"/>
    </xf>
    <xf numFmtId="164" fontId="37" fillId="0" borderId="0" xfId="0" applyNumberFormat="1" applyFont="1" applyFill="1"/>
    <xf numFmtId="0" fontId="12" fillId="0" borderId="0" xfId="0" applyFont="1" applyBorder="1" applyAlignment="1">
      <alignment vertical="top" wrapText="1"/>
    </xf>
    <xf numFmtId="164" fontId="11" fillId="0" borderId="0" xfId="0" applyNumberFormat="1" applyFont="1" applyFill="1" applyBorder="1" applyAlignment="1">
      <alignment vertical="top" wrapText="1"/>
    </xf>
    <xf numFmtId="164" fontId="14" fillId="0" borderId="44" xfId="0" applyNumberFormat="1" applyFont="1" applyFill="1" applyBorder="1" applyAlignment="1">
      <alignment vertical="top" wrapText="1"/>
    </xf>
    <xf numFmtId="164" fontId="14" fillId="0" borderId="0" xfId="0" applyNumberFormat="1" applyFont="1" applyFill="1" applyBorder="1" applyAlignment="1">
      <alignment vertical="top" wrapText="1"/>
    </xf>
    <xf numFmtId="0" fontId="37" fillId="0" borderId="0" xfId="0" applyFont="1" applyAlignment="1">
      <alignment vertical="top"/>
    </xf>
    <xf numFmtId="0" fontId="43" fillId="0" borderId="0" xfId="0" applyFont="1" applyAlignment="1">
      <alignment vertical="top"/>
    </xf>
    <xf numFmtId="164" fontId="37" fillId="0" borderId="0" xfId="0" applyNumberFormat="1" applyFont="1" applyAlignment="1">
      <alignment vertical="top"/>
    </xf>
    <xf numFmtId="164" fontId="11" fillId="5" borderId="62" xfId="0" applyNumberFormat="1" applyFont="1" applyFill="1" applyBorder="1" applyAlignment="1">
      <alignment horizontal="center" vertical="top"/>
    </xf>
    <xf numFmtId="0" fontId="37" fillId="0" borderId="0" xfId="0" applyFont="1" applyBorder="1" applyAlignment="1">
      <alignment vertical="top" wrapText="1"/>
    </xf>
    <xf numFmtId="164" fontId="11" fillId="2" borderId="10" xfId="0" applyNumberFormat="1" applyFont="1" applyFill="1" applyBorder="1" applyAlignment="1">
      <alignment horizontal="center" vertical="top"/>
    </xf>
    <xf numFmtId="164" fontId="11" fillId="5" borderId="17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vertical="top" wrapText="1"/>
    </xf>
    <xf numFmtId="164" fontId="11" fillId="3" borderId="26" xfId="0" applyNumberFormat="1" applyFont="1" applyFill="1" applyBorder="1" applyAlignment="1">
      <alignment horizontal="center" vertical="top"/>
    </xf>
    <xf numFmtId="164" fontId="11" fillId="3" borderId="27" xfId="0" applyNumberFormat="1" applyFont="1" applyFill="1" applyBorder="1" applyAlignment="1">
      <alignment horizontal="center" vertical="top"/>
    </xf>
    <xf numFmtId="164" fontId="11" fillId="2" borderId="31" xfId="0" applyNumberFormat="1" applyFont="1" applyFill="1" applyBorder="1" applyAlignment="1">
      <alignment horizontal="center" vertical="top"/>
    </xf>
    <xf numFmtId="164" fontId="11" fillId="3" borderId="29" xfId="0" applyNumberFormat="1" applyFont="1" applyFill="1" applyBorder="1" applyAlignment="1">
      <alignment horizontal="center" vertical="top"/>
    </xf>
    <xf numFmtId="164" fontId="11" fillId="2" borderId="11" xfId="0" applyNumberFormat="1" applyFont="1" applyFill="1" applyBorder="1" applyAlignment="1">
      <alignment horizontal="center" vertical="top"/>
    </xf>
    <xf numFmtId="164" fontId="11" fillId="5" borderId="63" xfId="0" applyNumberFormat="1" applyFont="1" applyFill="1" applyBorder="1" applyAlignment="1">
      <alignment horizontal="center" vertical="top"/>
    </xf>
    <xf numFmtId="164" fontId="11" fillId="3" borderId="30" xfId="0" applyNumberFormat="1" applyFont="1" applyFill="1" applyBorder="1" applyAlignment="1">
      <alignment horizontal="center" vertical="top"/>
    </xf>
    <xf numFmtId="164" fontId="11" fillId="2" borderId="33" xfId="0" applyNumberFormat="1" applyFont="1" applyFill="1" applyBorder="1" applyAlignment="1">
      <alignment horizontal="center" vertical="top"/>
    </xf>
    <xf numFmtId="164" fontId="11" fillId="3" borderId="59" xfId="0" applyNumberFormat="1" applyFont="1" applyFill="1" applyBorder="1" applyAlignment="1">
      <alignment horizontal="center" vertical="top"/>
    </xf>
    <xf numFmtId="164" fontId="11" fillId="2" borderId="60" xfId="0" applyNumberFormat="1" applyFont="1" applyFill="1" applyBorder="1" applyAlignment="1">
      <alignment horizontal="center" vertical="top"/>
    </xf>
    <xf numFmtId="164" fontId="12" fillId="0" borderId="29" xfId="0" applyNumberFormat="1" applyFont="1" applyFill="1" applyBorder="1" applyAlignment="1">
      <alignment horizontal="center" vertical="top"/>
    </xf>
    <xf numFmtId="164" fontId="12" fillId="0" borderId="22" xfId="0" applyNumberFormat="1" applyFont="1" applyFill="1" applyBorder="1" applyAlignment="1">
      <alignment horizontal="center" vertical="top"/>
    </xf>
    <xf numFmtId="164" fontId="12" fillId="4" borderId="59" xfId="0" applyNumberFormat="1" applyFont="1" applyFill="1" applyBorder="1" applyAlignment="1">
      <alignment horizontal="right" vertical="top" wrapText="1"/>
    </xf>
    <xf numFmtId="164" fontId="12" fillId="4" borderId="44" xfId="0" applyNumberFormat="1" applyFont="1" applyFill="1" applyBorder="1" applyAlignment="1">
      <alignment horizontal="right" vertical="top" wrapText="1"/>
    </xf>
    <xf numFmtId="164" fontId="12" fillId="4" borderId="43" xfId="0" applyNumberFormat="1" applyFont="1" applyFill="1" applyBorder="1" applyAlignment="1">
      <alignment horizontal="right" vertical="top" wrapText="1"/>
    </xf>
    <xf numFmtId="164" fontId="12" fillId="4" borderId="60" xfId="0" applyNumberFormat="1" applyFont="1" applyFill="1" applyBorder="1" applyAlignment="1">
      <alignment horizontal="right" vertical="top" wrapText="1"/>
    </xf>
    <xf numFmtId="164" fontId="12" fillId="4" borderId="33" xfId="0" applyNumberFormat="1" applyFont="1" applyFill="1" applyBorder="1" applyAlignment="1">
      <alignment horizontal="right" vertical="top" wrapText="1"/>
    </xf>
    <xf numFmtId="164" fontId="11" fillId="3" borderId="64" xfId="0" applyNumberFormat="1" applyFont="1" applyFill="1" applyBorder="1" applyAlignment="1">
      <alignment horizontal="right" vertical="top"/>
    </xf>
    <xf numFmtId="164" fontId="11" fillId="3" borderId="6" xfId="0" applyNumberFormat="1" applyFont="1" applyFill="1" applyBorder="1" applyAlignment="1">
      <alignment horizontal="right" vertical="top"/>
    </xf>
    <xf numFmtId="164" fontId="11" fillId="3" borderId="65" xfId="0" applyNumberFormat="1" applyFont="1" applyFill="1" applyBorder="1" applyAlignment="1">
      <alignment horizontal="right" vertical="top"/>
    </xf>
    <xf numFmtId="164" fontId="11" fillId="3" borderId="66" xfId="0" applyNumberFormat="1" applyFont="1" applyFill="1" applyBorder="1" applyAlignment="1">
      <alignment horizontal="right" vertical="top"/>
    </xf>
    <xf numFmtId="164" fontId="3" fillId="3" borderId="64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 vertical="center"/>
    </xf>
    <xf numFmtId="164" fontId="3" fillId="3" borderId="65" xfId="0" applyNumberFormat="1" applyFont="1" applyFill="1" applyBorder="1" applyAlignment="1">
      <alignment horizontal="right" vertical="center"/>
    </xf>
    <xf numFmtId="164" fontId="3" fillId="3" borderId="66" xfId="0" applyNumberFormat="1" applyFont="1" applyFill="1" applyBorder="1" applyAlignment="1">
      <alignment horizontal="right" vertical="center"/>
    </xf>
    <xf numFmtId="164" fontId="3" fillId="3" borderId="67" xfId="0" applyNumberFormat="1" applyFont="1" applyFill="1" applyBorder="1" applyAlignment="1">
      <alignment horizontal="right" vertical="center"/>
    </xf>
    <xf numFmtId="0" fontId="34" fillId="0" borderId="8" xfId="2" applyFont="1" applyFill="1" applyBorder="1" applyAlignment="1">
      <alignment horizontal="left" vertical="top" wrapText="1"/>
    </xf>
    <xf numFmtId="0" fontId="30" fillId="0" borderId="0" xfId="2" applyFont="1" applyAlignment="1">
      <alignment horizontal="center"/>
    </xf>
    <xf numFmtId="0" fontId="31" fillId="0" borderId="0" xfId="2" applyFont="1" applyBorder="1" applyAlignment="1">
      <alignment horizontal="center" vertical="top"/>
    </xf>
    <xf numFmtId="0" fontId="31" fillId="4" borderId="22" xfId="2" applyFont="1" applyFill="1" applyBorder="1" applyAlignment="1">
      <alignment horizontal="center" vertical="top"/>
    </xf>
    <xf numFmtId="0" fontId="20" fillId="4" borderId="8" xfId="0" applyFont="1" applyFill="1" applyBorder="1" applyAlignment="1">
      <alignment horizontal="center" vertical="top" wrapText="1"/>
    </xf>
    <xf numFmtId="0" fontId="31" fillId="4" borderId="39" xfId="2" applyFont="1" applyFill="1" applyBorder="1" applyAlignment="1">
      <alignment horizontal="center" vertical="top"/>
    </xf>
    <xf numFmtId="0" fontId="20" fillId="4" borderId="15" xfId="0" applyFont="1" applyFill="1" applyBorder="1" applyAlignment="1">
      <alignment horizontal="center" vertical="top" wrapText="1"/>
    </xf>
    <xf numFmtId="0" fontId="31" fillId="4" borderId="8" xfId="2" applyFont="1" applyFill="1" applyBorder="1" applyAlignment="1">
      <alignment horizontal="left" vertical="center" wrapText="1"/>
    </xf>
    <xf numFmtId="164" fontId="12" fillId="0" borderId="61" xfId="0" applyNumberFormat="1" applyFont="1" applyFill="1" applyBorder="1" applyAlignment="1">
      <alignment horizontal="right" vertical="top" wrapText="1"/>
    </xf>
    <xf numFmtId="0" fontId="14" fillId="0" borderId="0" xfId="0" applyFont="1"/>
    <xf numFmtId="164" fontId="11" fillId="8" borderId="69" xfId="0" applyNumberFormat="1" applyFont="1" applyFill="1" applyBorder="1" applyAlignment="1">
      <alignment horizontal="right" vertical="top"/>
    </xf>
    <xf numFmtId="0" fontId="4" fillId="8" borderId="52" xfId="0" applyFont="1" applyFill="1" applyBorder="1" applyAlignment="1">
      <alignment horizontal="center" vertical="top"/>
    </xf>
    <xf numFmtId="164" fontId="11" fillId="8" borderId="41" xfId="0" applyNumberFormat="1" applyFont="1" applyFill="1" applyBorder="1" applyAlignment="1">
      <alignment horizontal="right" vertical="top"/>
    </xf>
    <xf numFmtId="164" fontId="11" fillId="8" borderId="14" xfId="0" applyNumberFormat="1" applyFont="1" applyFill="1" applyBorder="1" applyAlignment="1">
      <alignment horizontal="right" vertical="top"/>
    </xf>
    <xf numFmtId="164" fontId="11" fillId="8" borderId="36" xfId="0" applyNumberFormat="1" applyFont="1" applyFill="1" applyBorder="1" applyAlignment="1">
      <alignment horizontal="right" vertical="top"/>
    </xf>
    <xf numFmtId="164" fontId="11" fillId="8" borderId="20" xfId="0" applyNumberFormat="1" applyFont="1" applyFill="1" applyBorder="1" applyAlignment="1">
      <alignment horizontal="right" vertical="top"/>
    </xf>
    <xf numFmtId="164" fontId="11" fillId="8" borderId="37" xfId="0" applyNumberFormat="1" applyFont="1" applyFill="1" applyBorder="1" applyAlignment="1">
      <alignment horizontal="right" vertical="top"/>
    </xf>
    <xf numFmtId="0" fontId="4" fillId="8" borderId="70" xfId="0" applyFont="1" applyFill="1" applyBorder="1" applyAlignment="1">
      <alignment horizontal="center" vertical="top"/>
    </xf>
    <xf numFmtId="164" fontId="11" fillId="8" borderId="21" xfId="0" applyNumberFormat="1" applyFont="1" applyFill="1" applyBorder="1" applyAlignment="1">
      <alignment horizontal="right" vertical="top"/>
    </xf>
    <xf numFmtId="164" fontId="11" fillId="8" borderId="71" xfId="0" applyNumberFormat="1" applyFont="1" applyFill="1" applyBorder="1" applyAlignment="1">
      <alignment horizontal="right" vertical="top"/>
    </xf>
    <xf numFmtId="164" fontId="11" fillId="8" borderId="17" xfId="0" applyNumberFormat="1" applyFont="1" applyFill="1" applyBorder="1" applyAlignment="1">
      <alignment horizontal="right" vertical="top"/>
    </xf>
    <xf numFmtId="164" fontId="11" fillId="8" borderId="72" xfId="0" applyNumberFormat="1" applyFont="1" applyFill="1" applyBorder="1" applyAlignment="1">
      <alignment horizontal="right" vertical="top"/>
    </xf>
    <xf numFmtId="164" fontId="11" fillId="8" borderId="70" xfId="0" applyNumberFormat="1" applyFont="1" applyFill="1" applyBorder="1" applyAlignment="1">
      <alignment horizontal="right" vertical="top"/>
    </xf>
    <xf numFmtId="164" fontId="11" fillId="8" borderId="52" xfId="0" applyNumberFormat="1" applyFont="1" applyFill="1" applyBorder="1" applyAlignment="1">
      <alignment horizontal="right" vertical="top"/>
    </xf>
    <xf numFmtId="0" fontId="4" fillId="8" borderId="68" xfId="0" applyFont="1" applyFill="1" applyBorder="1" applyAlignment="1">
      <alignment horizontal="center" vertical="top" wrapText="1"/>
    </xf>
    <xf numFmtId="164" fontId="12" fillId="8" borderId="26" xfId="0" applyNumberFormat="1" applyFont="1" applyFill="1" applyBorder="1" applyAlignment="1">
      <alignment horizontal="right" vertical="top"/>
    </xf>
    <xf numFmtId="164" fontId="12" fillId="8" borderId="27" xfId="0" applyNumberFormat="1" applyFont="1" applyFill="1" applyBorder="1" applyAlignment="1">
      <alignment horizontal="right" vertical="top"/>
    </xf>
    <xf numFmtId="164" fontId="12" fillId="8" borderId="28" xfId="0" applyNumberFormat="1" applyFont="1" applyFill="1" applyBorder="1" applyAlignment="1">
      <alignment horizontal="right" vertical="top"/>
    </xf>
    <xf numFmtId="164" fontId="12" fillId="8" borderId="31" xfId="0" applyNumberFormat="1" applyFont="1" applyFill="1" applyBorder="1" applyAlignment="1">
      <alignment horizontal="right" vertical="top"/>
    </xf>
    <xf numFmtId="164" fontId="12" fillId="8" borderId="15" xfId="0" applyNumberFormat="1" applyFont="1" applyFill="1" applyBorder="1" applyAlignment="1">
      <alignment horizontal="right" vertical="top"/>
    </xf>
    <xf numFmtId="164" fontId="12" fillId="8" borderId="38" xfId="0" applyNumberFormat="1" applyFont="1" applyFill="1" applyBorder="1" applyAlignment="1">
      <alignment horizontal="right" vertical="top"/>
    </xf>
    <xf numFmtId="164" fontId="12" fillId="8" borderId="1" xfId="0" applyNumberFormat="1" applyFont="1" applyFill="1" applyBorder="1" applyAlignment="1">
      <alignment horizontal="right" vertical="top"/>
    </xf>
    <xf numFmtId="164" fontId="12" fillId="8" borderId="29" xfId="0" applyNumberFormat="1" applyFont="1" applyFill="1" applyBorder="1" applyAlignment="1">
      <alignment horizontal="right" vertical="top"/>
    </xf>
    <xf numFmtId="164" fontId="12" fillId="8" borderId="39" xfId="0" applyNumberFormat="1" applyFont="1" applyFill="1" applyBorder="1" applyAlignment="1">
      <alignment horizontal="right" vertical="top"/>
    </xf>
    <xf numFmtId="0" fontId="22" fillId="8" borderId="62" xfId="0" applyFont="1" applyFill="1" applyBorder="1" applyAlignment="1">
      <alignment horizontal="center" vertical="top" wrapText="1"/>
    </xf>
    <xf numFmtId="164" fontId="11" fillId="8" borderId="73" xfId="0" applyNumberFormat="1" applyFont="1" applyFill="1" applyBorder="1" applyAlignment="1">
      <alignment horizontal="right" vertical="top"/>
    </xf>
    <xf numFmtId="164" fontId="11" fillId="8" borderId="62" xfId="0" applyNumberFormat="1" applyFont="1" applyFill="1" applyBorder="1" applyAlignment="1">
      <alignment horizontal="right" vertical="top"/>
    </xf>
    <xf numFmtId="0" fontId="4" fillId="8" borderId="62" xfId="0" applyFont="1" applyFill="1" applyBorder="1" applyAlignment="1">
      <alignment horizontal="center" vertical="top" wrapText="1"/>
    </xf>
    <xf numFmtId="164" fontId="12" fillId="8" borderId="46" xfId="0" applyNumberFormat="1" applyFont="1" applyFill="1" applyBorder="1" applyAlignment="1">
      <alignment horizontal="right" vertical="top"/>
    </xf>
    <xf numFmtId="164" fontId="12" fillId="8" borderId="47" xfId="0" applyNumberFormat="1" applyFont="1" applyFill="1" applyBorder="1" applyAlignment="1">
      <alignment horizontal="right" vertical="top"/>
    </xf>
    <xf numFmtId="164" fontId="12" fillId="8" borderId="48" xfId="0" applyNumberFormat="1" applyFont="1" applyFill="1" applyBorder="1" applyAlignment="1">
      <alignment horizontal="right" vertical="top"/>
    </xf>
    <xf numFmtId="164" fontId="11" fillId="8" borderId="10" xfId="0" applyNumberFormat="1" applyFont="1" applyFill="1" applyBorder="1" applyAlignment="1">
      <alignment horizontal="right" vertical="top"/>
    </xf>
    <xf numFmtId="164" fontId="11" fillId="8" borderId="32" xfId="0" applyNumberFormat="1" applyFont="1" applyFill="1" applyBorder="1" applyAlignment="1">
      <alignment horizontal="right" vertical="top"/>
    </xf>
    <xf numFmtId="164" fontId="12" fillId="8" borderId="10" xfId="0" applyNumberFormat="1" applyFont="1" applyFill="1" applyBorder="1" applyAlignment="1">
      <alignment horizontal="right" vertical="top"/>
    </xf>
    <xf numFmtId="164" fontId="12" fillId="8" borderId="32" xfId="0" applyNumberFormat="1" applyFont="1" applyFill="1" applyBorder="1" applyAlignment="1">
      <alignment horizontal="right" vertical="top"/>
    </xf>
    <xf numFmtId="164" fontId="12" fillId="8" borderId="45" xfId="0" applyNumberFormat="1" applyFont="1" applyFill="1" applyBorder="1" applyAlignment="1">
      <alignment horizontal="right" vertical="top"/>
    </xf>
    <xf numFmtId="164" fontId="12" fillId="8" borderId="16" xfId="0" applyNumberFormat="1" applyFont="1" applyFill="1" applyBorder="1" applyAlignment="1">
      <alignment horizontal="right" vertical="top"/>
    </xf>
    <xf numFmtId="164" fontId="12" fillId="8" borderId="8" xfId="0" applyNumberFormat="1" applyFont="1" applyFill="1" applyBorder="1" applyAlignment="1">
      <alignment horizontal="right" vertical="top"/>
    </xf>
    <xf numFmtId="164" fontId="12" fillId="8" borderId="42" xfId="0" applyNumberFormat="1" applyFont="1" applyFill="1" applyBorder="1" applyAlignment="1">
      <alignment horizontal="right" vertical="top"/>
    </xf>
    <xf numFmtId="164" fontId="12" fillId="8" borderId="13" xfId="0" applyNumberFormat="1" applyFont="1" applyFill="1" applyBorder="1" applyAlignment="1">
      <alignment horizontal="right" vertical="top"/>
    </xf>
    <xf numFmtId="164" fontId="11" fillId="8" borderId="74" xfId="0" applyNumberFormat="1" applyFont="1" applyFill="1" applyBorder="1" applyAlignment="1">
      <alignment horizontal="right" vertical="top"/>
    </xf>
    <xf numFmtId="164" fontId="11" fillId="8" borderId="35" xfId="0" applyNumberFormat="1" applyFont="1" applyFill="1" applyBorder="1" applyAlignment="1">
      <alignment horizontal="right" vertical="top"/>
    </xf>
    <xf numFmtId="0" fontId="4" fillId="8" borderId="70" xfId="0" applyFont="1" applyFill="1" applyBorder="1" applyAlignment="1">
      <alignment horizontal="center" vertical="top" wrapText="1"/>
    </xf>
    <xf numFmtId="164" fontId="3" fillId="8" borderId="41" xfId="0" applyNumberFormat="1" applyFont="1" applyFill="1" applyBorder="1" applyAlignment="1">
      <alignment horizontal="right" vertical="top"/>
    </xf>
    <xf numFmtId="164" fontId="3" fillId="8" borderId="69" xfId="0" applyNumberFormat="1" applyFont="1" applyFill="1" applyBorder="1" applyAlignment="1">
      <alignment horizontal="right" vertical="top"/>
    </xf>
    <xf numFmtId="164" fontId="3" fillId="8" borderId="14" xfId="0" applyNumberFormat="1" applyFont="1" applyFill="1" applyBorder="1" applyAlignment="1">
      <alignment horizontal="right" vertical="top"/>
    </xf>
    <xf numFmtId="164" fontId="3" fillId="8" borderId="36" xfId="0" applyNumberFormat="1" applyFont="1" applyFill="1" applyBorder="1" applyAlignment="1">
      <alignment horizontal="right" vertical="top"/>
    </xf>
    <xf numFmtId="164" fontId="3" fillId="8" borderId="52" xfId="0" applyNumberFormat="1" applyFont="1" applyFill="1" applyBorder="1" applyAlignment="1">
      <alignment horizontal="right" vertical="top"/>
    </xf>
    <xf numFmtId="0" fontId="22" fillId="8" borderId="70" xfId="0" applyFont="1" applyFill="1" applyBorder="1" applyAlignment="1">
      <alignment horizontal="center" vertical="center"/>
    </xf>
    <xf numFmtId="164" fontId="3" fillId="8" borderId="21" xfId="0" applyNumberFormat="1" applyFont="1" applyFill="1" applyBorder="1" applyAlignment="1">
      <alignment horizontal="right" vertical="center"/>
    </xf>
    <xf numFmtId="164" fontId="3" fillId="8" borderId="73" xfId="0" applyNumberFormat="1" applyFont="1" applyFill="1" applyBorder="1" applyAlignment="1">
      <alignment horizontal="right" vertical="center"/>
    </xf>
    <xf numFmtId="164" fontId="3" fillId="8" borderId="72" xfId="0" applyNumberFormat="1" applyFont="1" applyFill="1" applyBorder="1" applyAlignment="1">
      <alignment horizontal="right" vertical="center"/>
    </xf>
    <xf numFmtId="164" fontId="3" fillId="8" borderId="72" xfId="0" applyNumberFormat="1" applyFont="1" applyFill="1" applyBorder="1" applyAlignment="1">
      <alignment horizontal="right" vertical="center" wrapText="1"/>
    </xf>
    <xf numFmtId="164" fontId="2" fillId="8" borderId="52" xfId="0" applyNumberFormat="1" applyFont="1" applyFill="1" applyBorder="1" applyAlignment="1">
      <alignment horizontal="right" vertical="center" wrapText="1"/>
    </xf>
    <xf numFmtId="164" fontId="2" fillId="8" borderId="27" xfId="0" applyNumberFormat="1" applyFont="1" applyFill="1" applyBorder="1" applyAlignment="1">
      <alignment horizontal="right" vertical="top"/>
    </xf>
    <xf numFmtId="164" fontId="2" fillId="8" borderId="28" xfId="0" applyNumberFormat="1" applyFont="1" applyFill="1" applyBorder="1" applyAlignment="1">
      <alignment horizontal="right" vertical="top"/>
    </xf>
    <xf numFmtId="164" fontId="2" fillId="8" borderId="13" xfId="0" applyNumberFormat="1" applyFont="1" applyFill="1" applyBorder="1" applyAlignment="1">
      <alignment horizontal="right" vertical="top"/>
    </xf>
    <xf numFmtId="164" fontId="2" fillId="8" borderId="10" xfId="0" applyNumberFormat="1" applyFont="1" applyFill="1" applyBorder="1" applyAlignment="1">
      <alignment horizontal="right" vertical="top"/>
    </xf>
    <xf numFmtId="164" fontId="2" fillId="8" borderId="32" xfId="0" applyNumberFormat="1" applyFont="1" applyFill="1" applyBorder="1" applyAlignment="1">
      <alignment horizontal="right" vertical="top"/>
    </xf>
    <xf numFmtId="164" fontId="2" fillId="8" borderId="50" xfId="0" applyNumberFormat="1" applyFont="1" applyFill="1" applyBorder="1" applyAlignment="1">
      <alignment horizontal="right" vertical="top"/>
    </xf>
    <xf numFmtId="164" fontId="2" fillId="8" borderId="8" xfId="0" applyNumberFormat="1" applyFont="1" applyFill="1" applyBorder="1" applyAlignment="1">
      <alignment horizontal="right" vertical="top"/>
    </xf>
    <xf numFmtId="164" fontId="2" fillId="8" borderId="42" xfId="0" applyNumberFormat="1" applyFont="1" applyFill="1" applyBorder="1" applyAlignment="1">
      <alignment horizontal="right" vertical="top"/>
    </xf>
    <xf numFmtId="164" fontId="2" fillId="8" borderId="26" xfId="0" applyNumberFormat="1" applyFont="1" applyFill="1" applyBorder="1" applyAlignment="1">
      <alignment horizontal="right" vertical="top"/>
    </xf>
    <xf numFmtId="164" fontId="3" fillId="8" borderId="10" xfId="0" applyNumberFormat="1" applyFont="1" applyFill="1" applyBorder="1" applyAlignment="1">
      <alignment horizontal="right" vertical="top"/>
    </xf>
    <xf numFmtId="164" fontId="3" fillId="8" borderId="32" xfId="0" applyNumberFormat="1" applyFont="1" applyFill="1" applyBorder="1" applyAlignment="1">
      <alignment horizontal="right" vertical="top"/>
    </xf>
    <xf numFmtId="164" fontId="2" fillId="8" borderId="31" xfId="0" applyNumberFormat="1" applyFont="1" applyFill="1" applyBorder="1" applyAlignment="1">
      <alignment horizontal="right" vertical="top"/>
    </xf>
    <xf numFmtId="164" fontId="12" fillId="8" borderId="2" xfId="0" applyNumberFormat="1" applyFont="1" applyFill="1" applyBorder="1" applyAlignment="1">
      <alignment horizontal="right" vertical="top"/>
    </xf>
    <xf numFmtId="164" fontId="12" fillId="8" borderId="24" xfId="0" applyNumberFormat="1" applyFont="1" applyFill="1" applyBorder="1" applyAlignment="1">
      <alignment horizontal="right" vertical="top"/>
    </xf>
    <xf numFmtId="0" fontId="4" fillId="8" borderId="20" xfId="0" applyFont="1" applyFill="1" applyBorder="1" applyAlignment="1">
      <alignment horizontal="center" vertical="top" wrapText="1"/>
    </xf>
    <xf numFmtId="164" fontId="3" fillId="8" borderId="37" xfId="0" applyNumberFormat="1" applyFont="1" applyFill="1" applyBorder="1" applyAlignment="1">
      <alignment horizontal="right" vertical="top"/>
    </xf>
    <xf numFmtId="164" fontId="3" fillId="8" borderId="62" xfId="0" applyNumberFormat="1" applyFont="1" applyFill="1" applyBorder="1" applyAlignment="1">
      <alignment horizontal="right" vertical="top"/>
    </xf>
    <xf numFmtId="164" fontId="3" fillId="8" borderId="17" xfId="0" applyNumberFormat="1" applyFont="1" applyFill="1" applyBorder="1" applyAlignment="1">
      <alignment horizontal="right" vertical="top"/>
    </xf>
    <xf numFmtId="164" fontId="3" fillId="8" borderId="73" xfId="0" applyNumberFormat="1" applyFont="1" applyFill="1" applyBorder="1" applyAlignment="1">
      <alignment horizontal="right" vertical="top"/>
    </xf>
    <xf numFmtId="164" fontId="3" fillId="8" borderId="71" xfId="0" applyNumberFormat="1" applyFont="1" applyFill="1" applyBorder="1" applyAlignment="1">
      <alignment horizontal="right" vertical="top"/>
    </xf>
    <xf numFmtId="0" fontId="4" fillId="8" borderId="70" xfId="0" applyFont="1" applyFill="1" applyBorder="1" applyAlignment="1">
      <alignment horizontal="center" vertical="center"/>
    </xf>
    <xf numFmtId="164" fontId="3" fillId="8" borderId="52" xfId="0" applyNumberFormat="1" applyFont="1" applyFill="1" applyBorder="1" applyAlignment="1">
      <alignment horizontal="right" vertical="center"/>
    </xf>
    <xf numFmtId="0" fontId="4" fillId="8" borderId="71" xfId="0" applyFont="1" applyFill="1" applyBorder="1" applyAlignment="1">
      <alignment horizontal="center" vertical="top" wrapText="1"/>
    </xf>
    <xf numFmtId="164" fontId="11" fillId="8" borderId="21" xfId="0" applyNumberFormat="1" applyFont="1" applyFill="1" applyBorder="1" applyAlignment="1">
      <alignment horizontal="center" vertical="top"/>
    </xf>
    <xf numFmtId="164" fontId="11" fillId="8" borderId="71" xfId="0" applyNumberFormat="1" applyFont="1" applyFill="1" applyBorder="1" applyAlignment="1">
      <alignment horizontal="center" vertical="top"/>
    </xf>
    <xf numFmtId="164" fontId="11" fillId="8" borderId="17" xfId="0" applyNumberFormat="1" applyFont="1" applyFill="1" applyBorder="1" applyAlignment="1">
      <alignment horizontal="center" vertical="top"/>
    </xf>
    <xf numFmtId="164" fontId="11" fillId="8" borderId="72" xfId="0" applyNumberFormat="1" applyFont="1" applyFill="1" applyBorder="1" applyAlignment="1">
      <alignment horizontal="center" vertical="top"/>
    </xf>
    <xf numFmtId="164" fontId="11" fillId="8" borderId="63" xfId="0" applyNumberFormat="1" applyFont="1" applyFill="1" applyBorder="1" applyAlignment="1">
      <alignment horizontal="center" vertical="top"/>
    </xf>
    <xf numFmtId="164" fontId="11" fillId="8" borderId="21" xfId="0" applyNumberFormat="1" applyFont="1" applyFill="1" applyBorder="1" applyAlignment="1">
      <alignment vertical="top"/>
    </xf>
    <xf numFmtId="164" fontId="11" fillId="8" borderId="17" xfId="0" applyNumberFormat="1" applyFont="1" applyFill="1" applyBorder="1" applyAlignment="1">
      <alignment vertical="top"/>
    </xf>
    <xf numFmtId="164" fontId="11" fillId="8" borderId="72" xfId="0" applyNumberFormat="1" applyFont="1" applyFill="1" applyBorder="1" applyAlignment="1">
      <alignment vertical="top"/>
    </xf>
    <xf numFmtId="164" fontId="11" fillId="8" borderId="70" xfId="0" applyNumberFormat="1" applyFont="1" applyFill="1" applyBorder="1" applyAlignment="1">
      <alignment horizontal="center" vertical="top"/>
    </xf>
    <xf numFmtId="164" fontId="11" fillId="8" borderId="52" xfId="0" applyNumberFormat="1" applyFont="1" applyFill="1" applyBorder="1" applyAlignment="1">
      <alignment horizontal="center" vertical="top"/>
    </xf>
    <xf numFmtId="0" fontId="14" fillId="8" borderId="70" xfId="0" applyFont="1" applyFill="1" applyBorder="1" applyAlignment="1">
      <alignment horizontal="center" vertical="top" wrapText="1"/>
    </xf>
    <xf numFmtId="164" fontId="11" fillId="8" borderId="63" xfId="0" applyNumberFormat="1" applyFont="1" applyFill="1" applyBorder="1" applyAlignment="1">
      <alignment horizontal="right" vertical="top"/>
    </xf>
    <xf numFmtId="164" fontId="11" fillId="8" borderId="34" xfId="0" applyNumberFormat="1" applyFont="1" applyFill="1" applyBorder="1" applyAlignment="1">
      <alignment horizontal="right" vertical="top"/>
    </xf>
    <xf numFmtId="164" fontId="3" fillId="8" borderId="21" xfId="0" applyNumberFormat="1" applyFont="1" applyFill="1" applyBorder="1" applyAlignment="1">
      <alignment horizontal="right" vertical="top"/>
    </xf>
    <xf numFmtId="164" fontId="3" fillId="8" borderId="63" xfId="0" applyNumberFormat="1" applyFont="1" applyFill="1" applyBorder="1" applyAlignment="1">
      <alignment horizontal="right" vertical="top"/>
    </xf>
    <xf numFmtId="164" fontId="3" fillId="8" borderId="72" xfId="0" applyNumberFormat="1" applyFont="1" applyFill="1" applyBorder="1" applyAlignment="1">
      <alignment horizontal="right" vertical="top"/>
    </xf>
    <xf numFmtId="164" fontId="2" fillId="8" borderId="1" xfId="0" applyNumberFormat="1" applyFont="1" applyFill="1" applyBorder="1" applyAlignment="1">
      <alignment horizontal="right" vertical="top"/>
    </xf>
    <xf numFmtId="164" fontId="2" fillId="8" borderId="15" xfId="0" applyNumberFormat="1" applyFont="1" applyFill="1" applyBorder="1" applyAlignment="1">
      <alignment horizontal="right" vertical="top"/>
    </xf>
    <xf numFmtId="164" fontId="2" fillId="8" borderId="38" xfId="0" applyNumberFormat="1" applyFont="1" applyFill="1" applyBorder="1" applyAlignment="1">
      <alignment horizontal="right" vertical="top"/>
    </xf>
    <xf numFmtId="164" fontId="2" fillId="8" borderId="44" xfId="0" applyNumberFormat="1" applyFont="1" applyFill="1" applyBorder="1" applyAlignment="1">
      <alignment horizontal="right" vertical="top"/>
    </xf>
    <xf numFmtId="164" fontId="2" fillId="8" borderId="22" xfId="0" applyNumberFormat="1" applyFont="1" applyFill="1" applyBorder="1" applyAlignment="1">
      <alignment horizontal="right" vertical="top"/>
    </xf>
    <xf numFmtId="164" fontId="12" fillId="8" borderId="26" xfId="0" applyNumberFormat="1" applyFont="1" applyFill="1" applyBorder="1" applyAlignment="1">
      <alignment vertical="top"/>
    </xf>
    <xf numFmtId="164" fontId="12" fillId="8" borderId="27" xfId="0" applyNumberFormat="1" applyFont="1" applyFill="1" applyBorder="1" applyAlignment="1">
      <alignment vertical="top"/>
    </xf>
    <xf numFmtId="164" fontId="12" fillId="8" borderId="28" xfId="0" applyNumberFormat="1" applyFont="1" applyFill="1" applyBorder="1" applyAlignment="1">
      <alignment vertical="top"/>
    </xf>
    <xf numFmtId="164" fontId="12" fillId="8" borderId="31" xfId="0" applyNumberFormat="1" applyFont="1" applyFill="1" applyBorder="1" applyAlignment="1">
      <alignment vertical="top"/>
    </xf>
    <xf numFmtId="164" fontId="12" fillId="8" borderId="10" xfId="0" applyNumberFormat="1" applyFont="1" applyFill="1" applyBorder="1" applyAlignment="1">
      <alignment vertical="top"/>
    </xf>
    <xf numFmtId="164" fontId="12" fillId="8" borderId="32" xfId="0" applyNumberFormat="1" applyFont="1" applyFill="1" applyBorder="1" applyAlignment="1">
      <alignment vertical="top"/>
    </xf>
    <xf numFmtId="164" fontId="2" fillId="8" borderId="16" xfId="0" applyNumberFormat="1" applyFont="1" applyFill="1" applyBorder="1" applyAlignment="1">
      <alignment horizontal="right" vertical="top"/>
    </xf>
    <xf numFmtId="164" fontId="2" fillId="8" borderId="29" xfId="0" applyNumberFormat="1" applyFont="1" applyFill="1" applyBorder="1" applyAlignment="1">
      <alignment horizontal="right" vertical="top"/>
    </xf>
    <xf numFmtId="164" fontId="2" fillId="8" borderId="11" xfId="0" applyNumberFormat="1" applyFont="1" applyFill="1" applyBorder="1" applyAlignment="1">
      <alignment horizontal="right" vertical="top"/>
    </xf>
    <xf numFmtId="164" fontId="2" fillId="8" borderId="34" xfId="0" applyNumberFormat="1" applyFont="1" applyFill="1" applyBorder="1" applyAlignment="1">
      <alignment horizontal="right" vertical="top"/>
    </xf>
    <xf numFmtId="164" fontId="2" fillId="8" borderId="35" xfId="0" applyNumberFormat="1" applyFont="1" applyFill="1" applyBorder="1" applyAlignment="1">
      <alignment horizontal="right" vertical="top"/>
    </xf>
    <xf numFmtId="164" fontId="2" fillId="8" borderId="39" xfId="0" applyNumberFormat="1" applyFont="1" applyFill="1" applyBorder="1" applyAlignment="1">
      <alignment horizontal="right" vertical="top"/>
    </xf>
    <xf numFmtId="164" fontId="2" fillId="8" borderId="41" xfId="0" applyNumberFormat="1" applyFont="1" applyFill="1" applyBorder="1" applyAlignment="1">
      <alignment horizontal="right" vertical="top"/>
    </xf>
    <xf numFmtId="164" fontId="2" fillId="8" borderId="14" xfId="0" applyNumberFormat="1" applyFont="1" applyFill="1" applyBorder="1" applyAlignment="1">
      <alignment horizontal="right" vertical="top"/>
    </xf>
    <xf numFmtId="164" fontId="2" fillId="8" borderId="36" xfId="0" applyNumberFormat="1" applyFont="1" applyFill="1" applyBorder="1" applyAlignment="1">
      <alignment horizontal="right" vertical="top"/>
    </xf>
    <xf numFmtId="0" fontId="14" fillId="8" borderId="52" xfId="0" applyFont="1" applyFill="1" applyBorder="1" applyAlignment="1">
      <alignment horizontal="center" vertical="top" wrapText="1"/>
    </xf>
    <xf numFmtId="164" fontId="11" fillId="8" borderId="75" xfId="0" applyNumberFormat="1" applyFont="1" applyFill="1" applyBorder="1" applyAlignment="1">
      <alignment horizontal="right" vertical="top"/>
    </xf>
    <xf numFmtId="164" fontId="11" fillId="8" borderId="76" xfId="0" applyNumberFormat="1" applyFont="1" applyFill="1" applyBorder="1" applyAlignment="1">
      <alignment horizontal="right" vertical="top"/>
    </xf>
    <xf numFmtId="164" fontId="11" fillId="8" borderId="77" xfId="0" applyNumberFormat="1" applyFont="1" applyFill="1" applyBorder="1" applyAlignment="1">
      <alignment horizontal="right" vertical="top"/>
    </xf>
    <xf numFmtId="164" fontId="11" fillId="8" borderId="68" xfId="0" applyNumberFormat="1" applyFont="1" applyFill="1" applyBorder="1" applyAlignment="1">
      <alignment horizontal="right" vertical="top"/>
    </xf>
    <xf numFmtId="0" fontId="14" fillId="8" borderId="62" xfId="0" applyFont="1" applyFill="1" applyBorder="1" applyAlignment="1">
      <alignment horizontal="center" vertical="top" wrapText="1"/>
    </xf>
    <xf numFmtId="164" fontId="11" fillId="8" borderId="7" xfId="0" applyNumberFormat="1" applyFont="1" applyFill="1" applyBorder="1" applyAlignment="1">
      <alignment horizontal="right" vertical="top"/>
    </xf>
    <xf numFmtId="0" fontId="14" fillId="8" borderId="58" xfId="0" applyFont="1" applyFill="1" applyBorder="1" applyAlignment="1">
      <alignment horizontal="center" vertical="top" wrapText="1"/>
    </xf>
    <xf numFmtId="0" fontId="14" fillId="8" borderId="59" xfId="0" applyFont="1" applyFill="1" applyBorder="1" applyAlignment="1">
      <alignment horizontal="left" vertical="center" wrapText="1"/>
    </xf>
    <xf numFmtId="164" fontId="14" fillId="8" borderId="30" xfId="0" applyNumberFormat="1" applyFont="1" applyFill="1" applyBorder="1" applyAlignment="1">
      <alignment horizontal="right" vertical="top" wrapText="1"/>
    </xf>
    <xf numFmtId="164" fontId="13" fillId="8" borderId="40" xfId="0" applyNumberFormat="1" applyFont="1" applyFill="1" applyBorder="1" applyAlignment="1">
      <alignment horizontal="right" vertical="top" wrapText="1"/>
    </xf>
    <xf numFmtId="164" fontId="13" fillId="8" borderId="33" xfId="0" applyNumberFormat="1" applyFont="1" applyFill="1" applyBorder="1" applyAlignment="1">
      <alignment horizontal="right" vertical="top" wrapText="1"/>
    </xf>
    <xf numFmtId="164" fontId="20" fillId="8" borderId="40" xfId="0" applyNumberFormat="1" applyFont="1" applyFill="1" applyBorder="1" applyAlignment="1">
      <alignment horizontal="right" vertical="top" wrapText="1"/>
    </xf>
    <xf numFmtId="49" fontId="14" fillId="0" borderId="43" xfId="0" applyNumberFormat="1" applyFont="1" applyFill="1" applyBorder="1" applyAlignment="1">
      <alignment vertical="top" wrapText="1"/>
    </xf>
    <xf numFmtId="0" fontId="44" fillId="0" borderId="0" xfId="0" applyFont="1"/>
    <xf numFmtId="0" fontId="45" fillId="0" borderId="0" xfId="0" applyFont="1" applyBorder="1" applyAlignment="1">
      <alignment vertical="top" wrapText="1"/>
    </xf>
    <xf numFmtId="164" fontId="45" fillId="0" borderId="75" xfId="0" applyNumberFormat="1" applyFont="1" applyFill="1" applyBorder="1" applyAlignment="1">
      <alignment horizontal="center" vertical="top" wrapText="1"/>
    </xf>
    <xf numFmtId="164" fontId="45" fillId="0" borderId="26" xfId="0" applyNumberFormat="1" applyFont="1" applyFill="1" applyBorder="1" applyAlignment="1">
      <alignment horizontal="center" vertical="top" wrapText="1"/>
    </xf>
    <xf numFmtId="0" fontId="45" fillId="0" borderId="26" xfId="0" applyFont="1" applyFill="1" applyBorder="1" applyAlignment="1">
      <alignment horizontal="center" vertical="top" wrapText="1"/>
    </xf>
    <xf numFmtId="164" fontId="46" fillId="0" borderId="45" xfId="0" applyNumberFormat="1" applyFont="1" applyBorder="1" applyAlignment="1">
      <alignment horizontal="center" vertical="center" wrapText="1"/>
    </xf>
    <xf numFmtId="0" fontId="45" fillId="0" borderId="41" xfId="0" applyFont="1" applyFill="1" applyBorder="1" applyAlignment="1">
      <alignment horizontal="center" vertical="top" wrapText="1"/>
    </xf>
    <xf numFmtId="0" fontId="46" fillId="0" borderId="26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horizontal="right" vertical="top" wrapText="1"/>
    </xf>
    <xf numFmtId="0" fontId="14" fillId="0" borderId="49" xfId="0" applyFont="1" applyBorder="1" applyAlignment="1">
      <alignment vertical="top"/>
    </xf>
    <xf numFmtId="0" fontId="13" fillId="0" borderId="0" xfId="0" applyFont="1" applyAlignment="1">
      <alignment vertical="top"/>
    </xf>
    <xf numFmtId="49" fontId="2" fillId="0" borderId="47" xfId="0" applyNumberFormat="1" applyFont="1" applyBorder="1" applyAlignment="1">
      <alignment vertical="top" wrapText="1"/>
    </xf>
    <xf numFmtId="49" fontId="2" fillId="0" borderId="8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0" fillId="0" borderId="54" xfId="0" applyNumberFormat="1" applyFont="1" applyBorder="1" applyAlignment="1">
      <alignment vertical="top" wrapText="1"/>
    </xf>
    <xf numFmtId="49" fontId="12" fillId="0" borderId="54" xfId="0" applyNumberFormat="1" applyFont="1" applyFill="1" applyBorder="1" applyAlignment="1">
      <alignment vertical="top"/>
    </xf>
    <xf numFmtId="0" fontId="13" fillId="0" borderId="60" xfId="0" applyFont="1" applyFill="1" applyBorder="1" applyAlignment="1">
      <alignment horizontal="left" vertical="top" wrapText="1" indent="1"/>
    </xf>
    <xf numFmtId="0" fontId="13" fillId="0" borderId="33" xfId="0" applyFont="1" applyFill="1" applyBorder="1" applyAlignment="1">
      <alignment horizontal="left" vertical="top" wrapText="1" indent="1"/>
    </xf>
    <xf numFmtId="0" fontId="20" fillId="0" borderId="34" xfId="0" applyFont="1" applyBorder="1" applyAlignment="1">
      <alignment horizontal="left" vertical="top" wrapText="1" indent="1"/>
    </xf>
    <xf numFmtId="0" fontId="13" fillId="0" borderId="34" xfId="0" applyFont="1" applyFill="1" applyBorder="1" applyAlignment="1">
      <alignment horizontal="left" vertical="top" wrapText="1" indent="1"/>
    </xf>
    <xf numFmtId="0" fontId="13" fillId="0" borderId="9" xfId="0" applyFont="1" applyBorder="1" applyAlignment="1">
      <alignment horizontal="left" vertical="top" wrapText="1" indent="1"/>
    </xf>
    <xf numFmtId="49" fontId="19" fillId="3" borderId="64" xfId="0" applyNumberFormat="1" applyFont="1" applyFill="1" applyBorder="1" applyAlignment="1">
      <alignment horizontal="center" vertical="top"/>
    </xf>
    <xf numFmtId="49" fontId="19" fillId="2" borderId="5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/>
    </xf>
    <xf numFmtId="49" fontId="3" fillId="5" borderId="3" xfId="0" applyNumberFormat="1" applyFont="1" applyFill="1" applyBorder="1" applyAlignment="1">
      <alignment horizontal="center" vertical="top"/>
    </xf>
    <xf numFmtId="164" fontId="14" fillId="8" borderId="33" xfId="0" applyNumberFormat="1" applyFont="1" applyFill="1" applyBorder="1" applyAlignment="1">
      <alignment horizontal="right" vertical="top" wrapText="1"/>
    </xf>
    <xf numFmtId="0" fontId="20" fillId="0" borderId="9" xfId="0" applyFont="1" applyBorder="1" applyAlignment="1">
      <alignment horizontal="left" vertical="top" wrapText="1" indent="1"/>
    </xf>
    <xf numFmtId="0" fontId="14" fillId="5" borderId="60" xfId="0" applyFont="1" applyFill="1" applyBorder="1" applyAlignment="1">
      <alignment horizontal="left" vertical="center" wrapText="1"/>
    </xf>
    <xf numFmtId="164" fontId="14" fillId="5" borderId="33" xfId="0" applyNumberFormat="1" applyFont="1" applyFill="1" applyBorder="1" applyAlignment="1">
      <alignment horizontal="right" vertical="top" wrapText="1"/>
    </xf>
    <xf numFmtId="164" fontId="14" fillId="0" borderId="33" xfId="0" applyNumberFormat="1" applyFont="1" applyBorder="1" applyAlignment="1">
      <alignment horizontal="right" vertical="top" wrapText="1"/>
    </xf>
    <xf numFmtId="0" fontId="13" fillId="0" borderId="9" xfId="0" applyFont="1" applyFill="1" applyBorder="1" applyAlignment="1">
      <alignment horizontal="left" vertical="top" wrapText="1" indent="1"/>
    </xf>
    <xf numFmtId="0" fontId="14" fillId="5" borderId="60" xfId="0" applyFont="1" applyFill="1" applyBorder="1" applyAlignment="1">
      <alignment horizontal="left" vertical="top" wrapText="1"/>
    </xf>
    <xf numFmtId="0" fontId="13" fillId="0" borderId="44" xfId="0" applyFont="1" applyBorder="1" applyAlignment="1">
      <alignment horizontal="left" vertical="top" wrapText="1" indent="1"/>
    </xf>
    <xf numFmtId="164" fontId="13" fillId="0" borderId="43" xfId="0" applyNumberFormat="1" applyFont="1" applyBorder="1" applyAlignment="1">
      <alignment horizontal="right" vertical="top" wrapText="1"/>
    </xf>
    <xf numFmtId="164" fontId="13" fillId="0" borderId="16" xfId="0" applyNumberFormat="1" applyFont="1" applyBorder="1" applyAlignment="1">
      <alignment horizontal="right" vertical="top" wrapText="1"/>
    </xf>
    <xf numFmtId="164" fontId="13" fillId="8" borderId="37" xfId="0" applyNumberFormat="1" applyFont="1" applyFill="1" applyBorder="1" applyAlignment="1">
      <alignment horizontal="right" vertical="top" wrapText="1"/>
    </xf>
    <xf numFmtId="164" fontId="13" fillId="0" borderId="24" xfId="0" applyNumberFormat="1" applyFont="1" applyBorder="1" applyAlignment="1">
      <alignment horizontal="right" vertical="top" wrapText="1"/>
    </xf>
    <xf numFmtId="164" fontId="3" fillId="3" borderId="78" xfId="0" applyNumberFormat="1" applyFont="1" applyFill="1" applyBorder="1" applyAlignment="1">
      <alignment horizontal="right" vertical="center"/>
    </xf>
    <xf numFmtId="164" fontId="3" fillId="3" borderId="25" xfId="0" applyNumberFormat="1" applyFont="1" applyFill="1" applyBorder="1" applyAlignment="1">
      <alignment horizontal="right" vertical="center"/>
    </xf>
    <xf numFmtId="164" fontId="3" fillId="3" borderId="79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vertical="top"/>
    </xf>
    <xf numFmtId="164" fontId="48" fillId="8" borderId="13" xfId="0" applyNumberFormat="1" applyFont="1" applyFill="1" applyBorder="1" applyAlignment="1">
      <alignment horizontal="right" vertical="top"/>
    </xf>
    <xf numFmtId="164" fontId="48" fillId="8" borderId="10" xfId="0" applyNumberFormat="1" applyFont="1" applyFill="1" applyBorder="1" applyAlignment="1">
      <alignment horizontal="right" vertical="top"/>
    </xf>
    <xf numFmtId="164" fontId="48" fillId="8" borderId="32" xfId="0" applyNumberFormat="1" applyFont="1" applyFill="1" applyBorder="1" applyAlignment="1">
      <alignment horizontal="right" vertical="top"/>
    </xf>
    <xf numFmtId="164" fontId="51" fillId="8" borderId="26" xfId="0" applyNumberFormat="1" applyFont="1" applyFill="1" applyBorder="1" applyAlignment="1">
      <alignment horizontal="right" vertical="top"/>
    </xf>
    <xf numFmtId="164" fontId="51" fillId="8" borderId="27" xfId="0" applyNumberFormat="1" applyFont="1" applyFill="1" applyBorder="1" applyAlignment="1">
      <alignment horizontal="right" vertical="top"/>
    </xf>
    <xf numFmtId="0" fontId="50" fillId="0" borderId="24" xfId="0" applyFont="1" applyFill="1" applyBorder="1" applyAlignment="1">
      <alignment vertical="top" wrapText="1"/>
    </xf>
    <xf numFmtId="164" fontId="51" fillId="8" borderId="31" xfId="0" applyNumberFormat="1" applyFont="1" applyFill="1" applyBorder="1" applyAlignment="1">
      <alignment horizontal="right" vertical="top"/>
    </xf>
    <xf numFmtId="164" fontId="51" fillId="8" borderId="10" xfId="0" applyNumberFormat="1" applyFont="1" applyFill="1" applyBorder="1" applyAlignment="1">
      <alignment horizontal="right" vertical="top"/>
    </xf>
    <xf numFmtId="164" fontId="51" fillId="8" borderId="28" xfId="0" applyNumberFormat="1" applyFont="1" applyFill="1" applyBorder="1" applyAlignment="1">
      <alignment horizontal="right" vertical="top"/>
    </xf>
    <xf numFmtId="164" fontId="48" fillId="8" borderId="45" xfId="0" applyNumberFormat="1" applyFont="1" applyFill="1" applyBorder="1" applyAlignment="1">
      <alignment horizontal="right" vertical="top"/>
    </xf>
    <xf numFmtId="164" fontId="48" fillId="8" borderId="27" xfId="0" applyNumberFormat="1" applyFont="1" applyFill="1" applyBorder="1" applyAlignment="1">
      <alignment horizontal="right" vertical="top"/>
    </xf>
    <xf numFmtId="164" fontId="48" fillId="8" borderId="28" xfId="0" applyNumberFormat="1" applyFont="1" applyFill="1" applyBorder="1" applyAlignment="1">
      <alignment horizontal="right" vertical="top"/>
    </xf>
    <xf numFmtId="0" fontId="37" fillId="0" borderId="12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Border="1"/>
    <xf numFmtId="49" fontId="52" fillId="7" borderId="68" xfId="0" applyNumberFormat="1" applyFont="1" applyFill="1" applyBorder="1" applyAlignment="1">
      <alignment horizontal="left" vertical="top" wrapText="1"/>
    </xf>
    <xf numFmtId="164" fontId="48" fillId="8" borderId="31" xfId="0" applyNumberFormat="1" applyFont="1" applyFill="1" applyBorder="1" applyAlignment="1">
      <alignment horizontal="right" vertical="top"/>
    </xf>
    <xf numFmtId="164" fontId="48" fillId="8" borderId="15" xfId="0" applyNumberFormat="1" applyFont="1" applyFill="1" applyBorder="1" applyAlignment="1">
      <alignment horizontal="right" vertical="top"/>
    </xf>
    <xf numFmtId="164" fontId="48" fillId="8" borderId="38" xfId="0" applyNumberFormat="1" applyFont="1" applyFill="1" applyBorder="1" applyAlignment="1">
      <alignment horizontal="right" vertical="top"/>
    </xf>
    <xf numFmtId="164" fontId="51" fillId="8" borderId="50" xfId="0" applyNumberFormat="1" applyFont="1" applyFill="1" applyBorder="1" applyAlignment="1">
      <alignment horizontal="right" vertical="top"/>
    </xf>
    <xf numFmtId="164" fontId="51" fillId="8" borderId="15" xfId="0" applyNumberFormat="1" applyFont="1" applyFill="1" applyBorder="1" applyAlignment="1">
      <alignment horizontal="right" vertical="top"/>
    </xf>
    <xf numFmtId="164" fontId="51" fillId="8" borderId="1" xfId="0" applyNumberFormat="1" applyFont="1" applyFill="1" applyBorder="1" applyAlignment="1">
      <alignment horizontal="right" vertical="top"/>
    </xf>
    <xf numFmtId="0" fontId="6" fillId="0" borderId="24" xfId="0" applyFont="1" applyFill="1" applyBorder="1" applyAlignment="1">
      <alignment vertical="top" wrapText="1"/>
    </xf>
    <xf numFmtId="164" fontId="45" fillId="0" borderId="46" xfId="0" applyNumberFormat="1" applyFont="1" applyFill="1" applyBorder="1" applyAlignment="1">
      <alignment horizontal="center" vertical="top" wrapText="1"/>
    </xf>
    <xf numFmtId="49" fontId="4" fillId="0" borderId="58" xfId="0" applyNumberFormat="1" applyFont="1" applyFill="1" applyBorder="1" applyAlignment="1">
      <alignment horizontal="left" vertical="top" wrapText="1"/>
    </xf>
    <xf numFmtId="0" fontId="37" fillId="0" borderId="7" xfId="0" applyFont="1" applyBorder="1"/>
    <xf numFmtId="49" fontId="14" fillId="0" borderId="53" xfId="0" applyNumberFormat="1" applyFont="1" applyBorder="1" applyAlignment="1">
      <alignment horizontal="center" vertical="top"/>
    </xf>
    <xf numFmtId="49" fontId="14" fillId="0" borderId="24" xfId="0" applyNumberFormat="1" applyFont="1" applyBorder="1" applyAlignment="1">
      <alignment horizontal="center" vertical="top"/>
    </xf>
    <xf numFmtId="49" fontId="14" fillId="0" borderId="58" xfId="0" applyNumberFormat="1" applyFont="1" applyBorder="1" applyAlignment="1">
      <alignment horizontal="center" vertical="top"/>
    </xf>
    <xf numFmtId="49" fontId="3" fillId="2" borderId="46" xfId="0" applyNumberFormat="1" applyFont="1" applyFill="1" applyBorder="1" applyAlignment="1">
      <alignment horizontal="center" vertical="top"/>
    </xf>
    <xf numFmtId="49" fontId="3" fillId="2" borderId="2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49" fontId="3" fillId="3" borderId="47" xfId="0" applyNumberFormat="1" applyFont="1" applyFill="1" applyBorder="1" applyAlignment="1">
      <alignment horizontal="center" vertical="top"/>
    </xf>
    <xf numFmtId="49" fontId="3" fillId="3" borderId="8" xfId="0" applyNumberFormat="1" applyFont="1" applyFill="1" applyBorder="1" applyAlignment="1">
      <alignment horizontal="center" vertical="top"/>
    </xf>
    <xf numFmtId="49" fontId="3" fillId="3" borderId="4" xfId="0" applyNumberFormat="1" applyFont="1" applyFill="1" applyBorder="1" applyAlignment="1">
      <alignment horizontal="center" vertical="top"/>
    </xf>
    <xf numFmtId="49" fontId="3" fillId="0" borderId="48" xfId="0" applyNumberFormat="1" applyFont="1" applyBorder="1" applyAlignment="1">
      <alignment horizontal="center" vertical="top"/>
    </xf>
    <xf numFmtId="49" fontId="3" fillId="0" borderId="42" xfId="0" applyNumberFormat="1" applyFont="1" applyBorder="1" applyAlignment="1">
      <alignment horizontal="center" vertical="top"/>
    </xf>
    <xf numFmtId="49" fontId="3" fillId="0" borderId="77" xfId="0" applyNumberFormat="1" applyFont="1" applyBorder="1" applyAlignment="1">
      <alignment horizontal="center" vertical="top"/>
    </xf>
    <xf numFmtId="0" fontId="4" fillId="0" borderId="53" xfId="0" applyFont="1" applyFill="1" applyBorder="1" applyAlignment="1">
      <alignment horizontal="left" vertical="top" wrapText="1"/>
    </xf>
    <xf numFmtId="0" fontId="4" fillId="0" borderId="24" xfId="0" applyFont="1" applyFill="1" applyBorder="1" applyAlignment="1">
      <alignment horizontal="left" vertical="top" wrapText="1"/>
    </xf>
    <xf numFmtId="0" fontId="4" fillId="0" borderId="58" xfId="0" applyFont="1" applyFill="1" applyBorder="1" applyAlignment="1">
      <alignment horizontal="left" vertical="top" wrapText="1"/>
    </xf>
    <xf numFmtId="0" fontId="45" fillId="0" borderId="46" xfId="0" applyFont="1" applyFill="1" applyBorder="1" applyAlignment="1">
      <alignment horizontal="center" vertical="center" textRotation="90" wrapText="1"/>
    </xf>
    <xf numFmtId="0" fontId="45" fillId="0" borderId="1" xfId="0" applyFont="1" applyFill="1" applyBorder="1" applyAlignment="1">
      <alignment horizontal="center" vertical="center" textRotation="90" wrapText="1"/>
    </xf>
    <xf numFmtId="49" fontId="2" fillId="0" borderId="47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0" fontId="6" fillId="0" borderId="53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58" xfId="0" applyFont="1" applyFill="1" applyBorder="1" applyAlignment="1">
      <alignment horizontal="left" vertical="top" wrapText="1"/>
    </xf>
    <xf numFmtId="0" fontId="4" fillId="4" borderId="53" xfId="0" applyFont="1" applyFill="1" applyBorder="1" applyAlignment="1">
      <alignment horizontal="left" vertical="top" wrapText="1"/>
    </xf>
    <xf numFmtId="0" fontId="4" fillId="4" borderId="24" xfId="0" applyFont="1" applyFill="1" applyBorder="1" applyAlignment="1">
      <alignment horizontal="left" vertical="top" wrapText="1"/>
    </xf>
    <xf numFmtId="0" fontId="4" fillId="4" borderId="58" xfId="0" applyFont="1" applyFill="1" applyBorder="1" applyAlignment="1">
      <alignment horizontal="left" vertical="top" wrapText="1"/>
    </xf>
    <xf numFmtId="0" fontId="45" fillId="0" borderId="46" xfId="0" applyFont="1" applyFill="1" applyBorder="1" applyAlignment="1">
      <alignment horizontal="center" vertical="top" wrapText="1"/>
    </xf>
    <xf numFmtId="0" fontId="45" fillId="0" borderId="2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top" wrapText="1"/>
    </xf>
    <xf numFmtId="164" fontId="4" fillId="5" borderId="59" xfId="0" applyNumberFormat="1" applyFont="1" applyFill="1" applyBorder="1" applyAlignment="1">
      <alignment horizontal="center" vertical="top" wrapText="1"/>
    </xf>
    <xf numFmtId="164" fontId="4" fillId="5" borderId="61" xfId="0" applyNumberFormat="1" applyFont="1" applyFill="1" applyBorder="1" applyAlignment="1">
      <alignment horizontal="center" vertical="top" wrapText="1"/>
    </xf>
    <xf numFmtId="164" fontId="4" fillId="5" borderId="23" xfId="0" applyNumberFormat="1" applyFont="1" applyFill="1" applyBorder="1" applyAlignment="1">
      <alignment horizontal="center" vertical="top" wrapText="1"/>
    </xf>
    <xf numFmtId="0" fontId="50" fillId="0" borderId="53" xfId="0" applyFont="1" applyFill="1" applyBorder="1" applyAlignment="1">
      <alignment horizontal="left" vertical="top" wrapText="1"/>
    </xf>
    <xf numFmtId="0" fontId="50" fillId="0" borderId="24" xfId="0" applyFont="1" applyFill="1" applyBorder="1" applyAlignment="1">
      <alignment horizontal="left" vertical="top" wrapText="1"/>
    </xf>
    <xf numFmtId="0" fontId="50" fillId="0" borderId="58" xfId="0" applyFont="1" applyFill="1" applyBorder="1" applyAlignment="1">
      <alignment horizontal="left" vertical="top" wrapText="1"/>
    </xf>
    <xf numFmtId="49" fontId="10" fillId="0" borderId="0" xfId="0" applyNumberFormat="1" applyFont="1" applyFill="1" applyBorder="1" applyAlignment="1">
      <alignment horizontal="center" wrapText="1"/>
    </xf>
    <xf numFmtId="49" fontId="19" fillId="2" borderId="46" xfId="0" applyNumberFormat="1" applyFont="1" applyFill="1" applyBorder="1" applyAlignment="1">
      <alignment horizontal="center" vertical="top"/>
    </xf>
    <xf numFmtId="49" fontId="19" fillId="2" borderId="2" xfId="0" applyNumberFormat="1" applyFont="1" applyFill="1" applyBorder="1" applyAlignment="1">
      <alignment horizontal="center" vertical="top"/>
    </xf>
    <xf numFmtId="49" fontId="19" fillId="2" borderId="3" xfId="0" applyNumberFormat="1" applyFont="1" applyFill="1" applyBorder="1" applyAlignment="1">
      <alignment horizontal="center" vertical="top"/>
    </xf>
    <xf numFmtId="49" fontId="3" fillId="4" borderId="48" xfId="0" applyNumberFormat="1" applyFont="1" applyFill="1" applyBorder="1" applyAlignment="1">
      <alignment vertical="top"/>
    </xf>
    <xf numFmtId="49" fontId="3" fillId="4" borderId="42" xfId="0" applyNumberFormat="1" applyFont="1" applyFill="1" applyBorder="1" applyAlignment="1">
      <alignment vertical="top"/>
    </xf>
    <xf numFmtId="49" fontId="3" fillId="4" borderId="77" xfId="0" applyNumberFormat="1" applyFont="1" applyFill="1" applyBorder="1" applyAlignment="1">
      <alignment vertical="top"/>
    </xf>
    <xf numFmtId="0" fontId="44" fillId="0" borderId="2" xfId="0" applyFont="1" applyBorder="1" applyAlignment="1">
      <alignment horizontal="center"/>
    </xf>
    <xf numFmtId="0" fontId="44" fillId="0" borderId="3" xfId="0" applyFont="1" applyBorder="1" applyAlignment="1">
      <alignment horizontal="center"/>
    </xf>
    <xf numFmtId="49" fontId="3" fillId="3" borderId="66" xfId="0" applyNumberFormat="1" applyFont="1" applyFill="1" applyBorder="1" applyAlignment="1">
      <alignment horizontal="right" vertical="top"/>
    </xf>
    <xf numFmtId="49" fontId="3" fillId="3" borderId="67" xfId="0" applyNumberFormat="1" applyFont="1" applyFill="1" applyBorder="1" applyAlignment="1">
      <alignment horizontal="right" vertical="top"/>
    </xf>
    <xf numFmtId="0" fontId="4" fillId="0" borderId="78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49" fontId="3" fillId="3" borderId="80" xfId="0" applyNumberFormat="1" applyFont="1" applyFill="1" applyBorder="1" applyAlignment="1">
      <alignment horizontal="center" vertical="top"/>
    </xf>
    <xf numFmtId="49" fontId="3" fillId="3" borderId="16" xfId="0" applyNumberFormat="1" applyFont="1" applyFill="1" applyBorder="1" applyAlignment="1">
      <alignment horizontal="center" vertical="top"/>
    </xf>
    <xf numFmtId="49" fontId="3" fillId="3" borderId="81" xfId="0" applyNumberFormat="1" applyFont="1" applyFill="1" applyBorder="1" applyAlignment="1">
      <alignment horizontal="center" vertical="top"/>
    </xf>
    <xf numFmtId="164" fontId="6" fillId="0" borderId="9" xfId="0" applyNumberFormat="1" applyFont="1" applyBorder="1" applyAlignment="1">
      <alignment horizontal="center" vertical="top" wrapText="1"/>
    </xf>
    <xf numFmtId="164" fontId="6" fillId="0" borderId="51" xfId="0" applyNumberFormat="1" applyFont="1" applyBorder="1" applyAlignment="1">
      <alignment horizontal="center" vertical="top" wrapText="1"/>
    </xf>
    <xf numFmtId="164" fontId="6" fillId="0" borderId="18" xfId="0" applyNumberFormat="1" applyFont="1" applyBorder="1" applyAlignment="1">
      <alignment horizontal="center" vertical="top" wrapText="1"/>
    </xf>
    <xf numFmtId="0" fontId="22" fillId="0" borderId="7" xfId="0" applyFont="1" applyBorder="1" applyAlignment="1">
      <alignment horizontal="right" vertical="top" wrapText="1"/>
    </xf>
    <xf numFmtId="49" fontId="2" fillId="4" borderId="47" xfId="0" applyNumberFormat="1" applyFont="1" applyFill="1" applyBorder="1" applyAlignment="1">
      <alignment horizontal="center" vertical="top"/>
    </xf>
    <xf numFmtId="49" fontId="2" fillId="4" borderId="8" xfId="0" applyNumberFormat="1" applyFont="1" applyFill="1" applyBorder="1" applyAlignment="1">
      <alignment horizontal="center" vertical="top"/>
    </xf>
    <xf numFmtId="49" fontId="2" fillId="4" borderId="4" xfId="0" applyNumberFormat="1" applyFont="1" applyFill="1" applyBorder="1" applyAlignment="1">
      <alignment horizontal="center" vertical="top"/>
    </xf>
    <xf numFmtId="0" fontId="6" fillId="0" borderId="53" xfId="0" applyFont="1" applyFill="1" applyBorder="1" applyAlignment="1">
      <alignment vertical="top" wrapText="1"/>
    </xf>
    <xf numFmtId="0" fontId="6" fillId="0" borderId="24" xfId="0" applyFont="1" applyFill="1" applyBorder="1" applyAlignment="1">
      <alignment vertical="top" wrapText="1"/>
    </xf>
    <xf numFmtId="0" fontId="6" fillId="0" borderId="58" xfId="0" applyFont="1" applyFill="1" applyBorder="1" applyAlignment="1">
      <alignment vertical="top" wrapText="1"/>
    </xf>
    <xf numFmtId="49" fontId="45" fillId="4" borderId="2" xfId="0" applyNumberFormat="1" applyFont="1" applyFill="1" applyBorder="1" applyAlignment="1">
      <alignment horizontal="center" vertical="center" textRotation="90" wrapText="1"/>
    </xf>
    <xf numFmtId="0" fontId="3" fillId="3" borderId="66" xfId="0" applyFont="1" applyFill="1" applyBorder="1" applyAlignment="1">
      <alignment horizontal="left" vertical="top" wrapText="1"/>
    </xf>
    <xf numFmtId="0" fontId="3" fillId="3" borderId="67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49" fontId="3" fillId="2" borderId="61" xfId="0" applyNumberFormat="1" applyFont="1" applyFill="1" applyBorder="1" applyAlignment="1">
      <alignment horizontal="right" vertical="top"/>
    </xf>
    <xf numFmtId="49" fontId="19" fillId="3" borderId="66" xfId="0" applyNumberFormat="1" applyFont="1" applyFill="1" applyBorder="1" applyAlignment="1">
      <alignment horizontal="right" vertical="top"/>
    </xf>
    <xf numFmtId="49" fontId="19" fillId="3" borderId="67" xfId="0" applyNumberFormat="1" applyFont="1" applyFill="1" applyBorder="1" applyAlignment="1">
      <alignment horizontal="right" vertical="top"/>
    </xf>
    <xf numFmtId="0" fontId="4" fillId="5" borderId="59" xfId="0" applyFont="1" applyFill="1" applyBorder="1" applyAlignment="1">
      <alignment horizontal="right" vertical="top" wrapText="1"/>
    </xf>
    <xf numFmtId="0" fontId="4" fillId="5" borderId="61" xfId="0" applyFont="1" applyFill="1" applyBorder="1" applyAlignment="1">
      <alignment horizontal="right" vertical="top" wrapText="1"/>
    </xf>
    <xf numFmtId="0" fontId="4" fillId="5" borderId="23" xfId="0" applyFont="1" applyFill="1" applyBorder="1" applyAlignment="1">
      <alignment horizontal="righ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164" fontId="4" fillId="8" borderId="62" xfId="0" applyNumberFormat="1" applyFont="1" applyFill="1" applyBorder="1" applyAlignment="1">
      <alignment horizontal="center" vertical="top" wrapText="1"/>
    </xf>
    <xf numFmtId="164" fontId="4" fillId="8" borderId="71" xfId="0" applyNumberFormat="1" applyFont="1" applyFill="1" applyBorder="1" applyAlignment="1">
      <alignment horizontal="center" vertical="top" wrapText="1"/>
    </xf>
    <xf numFmtId="164" fontId="4" fillId="8" borderId="70" xfId="0" applyNumberFormat="1" applyFont="1" applyFill="1" applyBorder="1" applyAlignment="1">
      <alignment horizontal="center" vertical="top" wrapText="1"/>
    </xf>
    <xf numFmtId="164" fontId="6" fillId="0" borderId="60" xfId="0" applyNumberFormat="1" applyFont="1" applyBorder="1" applyAlignment="1">
      <alignment horizontal="center" vertical="top" wrapText="1"/>
    </xf>
    <xf numFmtId="164" fontId="6" fillId="0" borderId="12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0" fontId="4" fillId="8" borderId="62" xfId="0" applyFont="1" applyFill="1" applyBorder="1" applyAlignment="1">
      <alignment horizontal="right" vertical="top" wrapText="1"/>
    </xf>
    <xf numFmtId="0" fontId="4" fillId="8" borderId="71" xfId="0" applyFont="1" applyFill="1" applyBorder="1" applyAlignment="1">
      <alignment horizontal="right" vertical="top" wrapText="1"/>
    </xf>
    <xf numFmtId="0" fontId="4" fillId="8" borderId="70" xfId="0" applyFont="1" applyFill="1" applyBorder="1" applyAlignment="1">
      <alignment horizontal="right" vertical="top" wrapText="1"/>
    </xf>
    <xf numFmtId="0" fontId="6" fillId="4" borderId="60" xfId="0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19" xfId="0" applyFont="1" applyFill="1" applyBorder="1" applyAlignment="1">
      <alignment horizontal="left" vertical="top" wrapText="1"/>
    </xf>
    <xf numFmtId="0" fontId="6" fillId="0" borderId="6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164" fontId="4" fillId="5" borderId="60" xfId="0" applyNumberFormat="1" applyFont="1" applyFill="1" applyBorder="1" applyAlignment="1">
      <alignment horizontal="center" vertical="top" wrapText="1"/>
    </xf>
    <xf numFmtId="164" fontId="4" fillId="5" borderId="12" xfId="0" applyNumberFormat="1" applyFont="1" applyFill="1" applyBorder="1" applyAlignment="1">
      <alignment horizontal="center" vertical="top" wrapText="1"/>
    </xf>
    <xf numFmtId="164" fontId="4" fillId="5" borderId="19" xfId="0" applyNumberFormat="1" applyFont="1" applyFill="1" applyBorder="1" applyAlignment="1">
      <alignment horizontal="center" vertical="top" wrapText="1"/>
    </xf>
    <xf numFmtId="0" fontId="4" fillId="5" borderId="60" xfId="0" applyFont="1" applyFill="1" applyBorder="1" applyAlignment="1">
      <alignment horizontal="right" vertical="top" wrapText="1"/>
    </xf>
    <xf numFmtId="0" fontId="4" fillId="5" borderId="12" xfId="0" applyFont="1" applyFill="1" applyBorder="1" applyAlignment="1">
      <alignment horizontal="right" vertical="top" wrapText="1"/>
    </xf>
    <xf numFmtId="0" fontId="4" fillId="5" borderId="19" xfId="0" applyFont="1" applyFill="1" applyBorder="1" applyAlignment="1">
      <alignment horizontal="right" vertical="top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51" xfId="0" applyFont="1" applyFill="1" applyBorder="1" applyAlignment="1">
      <alignment horizontal="left" vertical="top" wrapText="1"/>
    </xf>
    <xf numFmtId="0" fontId="6" fillId="4" borderId="18" xfId="0" applyFont="1" applyFill="1" applyBorder="1" applyAlignment="1">
      <alignment horizontal="left" vertical="top" wrapText="1"/>
    </xf>
    <xf numFmtId="49" fontId="4" fillId="0" borderId="48" xfId="0" applyNumberFormat="1" applyFont="1" applyFill="1" applyBorder="1" applyAlignment="1">
      <alignment horizontal="center" vertical="top"/>
    </xf>
    <xf numFmtId="49" fontId="4" fillId="0" borderId="42" xfId="0" applyNumberFormat="1" applyFont="1" applyFill="1" applyBorder="1" applyAlignment="1">
      <alignment horizontal="center" vertical="top"/>
    </xf>
    <xf numFmtId="49" fontId="4" fillId="0" borderId="38" xfId="0" applyNumberFormat="1" applyFont="1" applyFill="1" applyBorder="1" applyAlignment="1">
      <alignment horizontal="center" vertical="top"/>
    </xf>
    <xf numFmtId="49" fontId="4" fillId="0" borderId="36" xfId="0" applyNumberFormat="1" applyFont="1" applyFill="1" applyBorder="1" applyAlignment="1">
      <alignment horizontal="center" vertical="top"/>
    </xf>
    <xf numFmtId="49" fontId="4" fillId="0" borderId="77" xfId="0" applyNumberFormat="1" applyFont="1" applyFill="1" applyBorder="1" applyAlignment="1">
      <alignment horizontal="center" vertical="top"/>
    </xf>
    <xf numFmtId="49" fontId="19" fillId="0" borderId="48" xfId="0" applyNumberFormat="1" applyFont="1" applyBorder="1" applyAlignment="1">
      <alignment horizontal="center" vertical="top"/>
    </xf>
    <xf numFmtId="49" fontId="19" fillId="0" borderId="42" xfId="0" applyNumberFormat="1" applyFont="1" applyBorder="1" applyAlignment="1">
      <alignment horizontal="center" vertical="top"/>
    </xf>
    <xf numFmtId="49" fontId="19" fillId="0" borderId="77" xfId="0" applyNumberFormat="1" applyFont="1" applyBorder="1" applyAlignment="1">
      <alignment horizontal="center" vertical="top"/>
    </xf>
    <xf numFmtId="49" fontId="18" fillId="0" borderId="47" xfId="0" applyNumberFormat="1" applyFont="1" applyBorder="1" applyAlignment="1">
      <alignment horizontal="center" vertical="top" wrapText="1"/>
    </xf>
    <xf numFmtId="49" fontId="18" fillId="0" borderId="8" xfId="0" applyNumberFormat="1" applyFont="1" applyBorder="1" applyAlignment="1">
      <alignment horizontal="center" vertical="top" wrapText="1"/>
    </xf>
    <xf numFmtId="49" fontId="18" fillId="0" borderId="4" xfId="0" applyNumberFormat="1" applyFont="1" applyBorder="1" applyAlignment="1">
      <alignment horizontal="center" vertical="top" wrapText="1"/>
    </xf>
    <xf numFmtId="49" fontId="19" fillId="3" borderId="47" xfId="0" applyNumberFormat="1" applyFont="1" applyFill="1" applyBorder="1" applyAlignment="1">
      <alignment horizontal="center" vertical="top"/>
    </xf>
    <xf numFmtId="49" fontId="19" fillId="3" borderId="8" xfId="0" applyNumberFormat="1" applyFont="1" applyFill="1" applyBorder="1" applyAlignment="1">
      <alignment horizontal="center" vertical="top"/>
    </xf>
    <xf numFmtId="49" fontId="19" fillId="3" borderId="4" xfId="0" applyNumberFormat="1" applyFont="1" applyFill="1" applyBorder="1" applyAlignment="1">
      <alignment horizontal="center" vertical="top"/>
    </xf>
    <xf numFmtId="0" fontId="46" fillId="0" borderId="41" xfId="0" applyFont="1" applyFill="1" applyBorder="1" applyAlignment="1">
      <alignment horizontal="center" vertical="center" textRotation="90" wrapText="1"/>
    </xf>
    <xf numFmtId="0" fontId="46" fillId="0" borderId="3" xfId="0" applyFont="1" applyFill="1" applyBorder="1" applyAlignment="1">
      <alignment horizontal="center" vertical="center" textRotation="90" wrapText="1"/>
    </xf>
    <xf numFmtId="0" fontId="4" fillId="3" borderId="66" xfId="0" applyFont="1" applyFill="1" applyBorder="1" applyAlignment="1">
      <alignment horizontal="left" vertical="top" wrapText="1"/>
    </xf>
    <xf numFmtId="0" fontId="4" fillId="3" borderId="6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25" xfId="0" applyFont="1" applyFill="1" applyBorder="1" applyAlignment="1">
      <alignment horizontal="left" vertical="top" wrapText="1"/>
    </xf>
    <xf numFmtId="49" fontId="14" fillId="0" borderId="53" xfId="0" applyNumberFormat="1" applyFont="1" applyFill="1" applyBorder="1" applyAlignment="1">
      <alignment horizontal="center" vertical="top"/>
    </xf>
    <xf numFmtId="49" fontId="14" fillId="0" borderId="24" xfId="0" applyNumberFormat="1" applyFont="1" applyFill="1" applyBorder="1" applyAlignment="1">
      <alignment horizontal="center" vertical="top"/>
    </xf>
    <xf numFmtId="49" fontId="14" fillId="0" borderId="58" xfId="0" applyNumberFormat="1" applyFont="1" applyFill="1" applyBorder="1" applyAlignment="1">
      <alignment horizontal="center" vertical="top"/>
    </xf>
    <xf numFmtId="49" fontId="3" fillId="0" borderId="48" xfId="0" applyNumberFormat="1" applyFont="1" applyBorder="1" applyAlignment="1">
      <alignment vertical="top"/>
    </xf>
    <xf numFmtId="49" fontId="3" fillId="0" borderId="42" xfId="0" applyNumberFormat="1" applyFont="1" applyBorder="1" applyAlignment="1">
      <alignment vertical="top"/>
    </xf>
    <xf numFmtId="49" fontId="3" fillId="0" borderId="77" xfId="0" applyNumberFormat="1" applyFont="1" applyBorder="1" applyAlignment="1">
      <alignment vertical="top"/>
    </xf>
    <xf numFmtId="49" fontId="13" fillId="0" borderId="43" xfId="0" applyNumberFormat="1" applyFont="1" applyFill="1" applyBorder="1" applyAlignment="1">
      <alignment horizontal="left" vertical="top" wrapText="1"/>
    </xf>
    <xf numFmtId="49" fontId="45" fillId="4" borderId="46" xfId="0" applyNumberFormat="1" applyFont="1" applyFill="1" applyBorder="1" applyAlignment="1">
      <alignment horizontal="center" vertical="center"/>
    </xf>
    <xf numFmtId="49" fontId="45" fillId="4" borderId="2" xfId="0" applyNumberFormat="1" applyFont="1" applyFill="1" applyBorder="1" applyAlignment="1">
      <alignment horizontal="center" vertical="center"/>
    </xf>
    <xf numFmtId="49" fontId="45" fillId="4" borderId="3" xfId="0" applyNumberFormat="1" applyFont="1" applyFill="1" applyBorder="1" applyAlignment="1">
      <alignment horizontal="center" vertical="center"/>
    </xf>
    <xf numFmtId="49" fontId="4" fillId="3" borderId="63" xfId="0" applyNumberFormat="1" applyFont="1" applyFill="1" applyBorder="1" applyAlignment="1">
      <alignment horizontal="left" vertical="top"/>
    </xf>
    <xf numFmtId="49" fontId="4" fillId="3" borderId="71" xfId="0" applyNumberFormat="1" applyFont="1" applyFill="1" applyBorder="1" applyAlignment="1">
      <alignment horizontal="left" vertical="top"/>
    </xf>
    <xf numFmtId="49" fontId="4" fillId="3" borderId="70" xfId="0" applyNumberFormat="1" applyFont="1" applyFill="1" applyBorder="1" applyAlignment="1">
      <alignment horizontal="left" vertical="top"/>
    </xf>
    <xf numFmtId="49" fontId="4" fillId="2" borderId="11" xfId="0" applyNumberFormat="1" applyFont="1" applyFill="1" applyBorder="1" applyAlignment="1">
      <alignment horizontal="left" vertical="top"/>
    </xf>
    <xf numFmtId="49" fontId="4" fillId="2" borderId="12" xfId="0" applyNumberFormat="1" applyFont="1" applyFill="1" applyBorder="1" applyAlignment="1">
      <alignment horizontal="left" vertical="top"/>
    </xf>
    <xf numFmtId="49" fontId="4" fillId="2" borderId="19" xfId="0" applyNumberFormat="1" applyFont="1" applyFill="1" applyBorder="1" applyAlignment="1">
      <alignment horizontal="left" vertical="top"/>
    </xf>
    <xf numFmtId="49" fontId="41" fillId="6" borderId="59" xfId="0" applyNumberFormat="1" applyFont="1" applyFill="1" applyBorder="1" applyAlignment="1">
      <alignment horizontal="left" vertical="top" wrapText="1"/>
    </xf>
    <xf numFmtId="49" fontId="41" fillId="6" borderId="61" xfId="0" applyNumberFormat="1" applyFont="1" applyFill="1" applyBorder="1" applyAlignment="1">
      <alignment horizontal="left" vertical="top" wrapText="1"/>
    </xf>
    <xf numFmtId="49" fontId="41" fillId="6" borderId="23" xfId="0" applyNumberFormat="1" applyFont="1" applyFill="1" applyBorder="1" applyAlignment="1">
      <alignment horizontal="left" vertical="top" wrapText="1"/>
    </xf>
    <xf numFmtId="0" fontId="18" fillId="0" borderId="49" xfId="0" applyFont="1" applyBorder="1" applyAlignment="1">
      <alignment horizontal="center" vertical="center" textRotation="90" wrapText="1"/>
    </xf>
    <xf numFmtId="0" fontId="18" fillId="0" borderId="43" xfId="0" applyFont="1" applyBorder="1" applyAlignment="1">
      <alignment horizontal="center" vertical="center" textRotation="90" wrapText="1"/>
    </xf>
    <xf numFmtId="0" fontId="18" fillId="0" borderId="68" xfId="0" applyFont="1" applyBorder="1" applyAlignment="1">
      <alignment horizontal="center" vertical="center" textRotation="90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21" fillId="0" borderId="49" xfId="0" applyNumberFormat="1" applyFont="1" applyBorder="1" applyAlignment="1">
      <alignment horizontal="center" vertical="center" textRotation="90" wrapText="1"/>
    </xf>
    <xf numFmtId="0" fontId="21" fillId="0" borderId="43" xfId="0" applyNumberFormat="1" applyFont="1" applyBorder="1" applyAlignment="1">
      <alignment horizontal="center" vertical="center" textRotation="90" wrapText="1"/>
    </xf>
    <xf numFmtId="0" fontId="21" fillId="0" borderId="68" xfId="0" applyNumberFormat="1" applyFont="1" applyBorder="1" applyAlignment="1">
      <alignment horizontal="center" vertical="center" textRotation="90" wrapText="1"/>
    </xf>
    <xf numFmtId="0" fontId="21" fillId="0" borderId="41" xfId="0" applyFont="1" applyBorder="1" applyAlignment="1">
      <alignment horizontal="center" vertical="center" textRotation="90" wrapText="1"/>
    </xf>
    <xf numFmtId="0" fontId="21" fillId="0" borderId="3" xfId="0" applyFont="1" applyBorder="1" applyAlignment="1">
      <alignment horizontal="center" vertical="center" textRotation="90" wrapText="1"/>
    </xf>
    <xf numFmtId="0" fontId="46" fillId="0" borderId="47" xfId="0" applyFont="1" applyBorder="1" applyAlignment="1">
      <alignment horizontal="center" vertical="center" textRotation="90" wrapText="1"/>
    </xf>
    <xf numFmtId="0" fontId="46" fillId="0" borderId="8" xfId="0" applyFont="1" applyBorder="1" applyAlignment="1">
      <alignment horizontal="center" vertical="center" textRotation="90" wrapText="1"/>
    </xf>
    <xf numFmtId="0" fontId="46" fillId="0" borderId="4" xfId="0" applyFont="1" applyBorder="1" applyAlignment="1">
      <alignment horizontal="center" vertical="center" textRotation="90" wrapText="1"/>
    </xf>
    <xf numFmtId="0" fontId="7" fillId="5" borderId="60" xfId="0" applyFont="1" applyFill="1" applyBorder="1" applyAlignment="1">
      <alignment horizontal="left" vertical="top" wrapText="1"/>
    </xf>
    <xf numFmtId="0" fontId="7" fillId="5" borderId="12" xfId="0" applyFont="1" applyFill="1" applyBorder="1" applyAlignment="1">
      <alignment horizontal="left" vertical="top" wrapText="1"/>
    </xf>
    <xf numFmtId="0" fontId="7" fillId="5" borderId="19" xfId="0" applyFont="1" applyFill="1" applyBorder="1" applyAlignment="1">
      <alignment horizontal="left" vertical="top" wrapText="1"/>
    </xf>
    <xf numFmtId="49" fontId="4" fillId="0" borderId="53" xfId="0" applyNumberFormat="1" applyFont="1" applyFill="1" applyBorder="1" applyAlignment="1">
      <alignment horizontal="center" vertical="top"/>
    </xf>
    <xf numFmtId="49" fontId="4" fillId="0" borderId="24" xfId="0" applyNumberFormat="1" applyFont="1" applyFill="1" applyBorder="1" applyAlignment="1">
      <alignment horizontal="center" vertical="top"/>
    </xf>
    <xf numFmtId="49" fontId="4" fillId="0" borderId="58" xfId="0" applyNumberFormat="1" applyFont="1" applyFill="1" applyBorder="1" applyAlignment="1">
      <alignment horizontal="center" vertical="top"/>
    </xf>
    <xf numFmtId="0" fontId="13" fillId="0" borderId="43" xfId="0" applyFont="1" applyFill="1" applyBorder="1" applyAlignment="1">
      <alignment horizontal="left" vertical="top" wrapText="1"/>
    </xf>
    <xf numFmtId="0" fontId="13" fillId="0" borderId="68" xfId="0" applyFont="1" applyFill="1" applyBorder="1" applyAlignment="1">
      <alignment horizontal="left" vertical="top" wrapText="1"/>
    </xf>
    <xf numFmtId="0" fontId="47" fillId="0" borderId="46" xfId="0" applyFont="1" applyFill="1" applyBorder="1" applyAlignment="1">
      <alignment horizontal="center" vertical="center" textRotation="90" wrapText="1"/>
    </xf>
    <xf numFmtId="0" fontId="47" fillId="0" borderId="2" xfId="0" applyFont="1" applyFill="1" applyBorder="1" applyAlignment="1">
      <alignment horizontal="center" vertical="center" textRotation="90" wrapText="1"/>
    </xf>
    <xf numFmtId="0" fontId="47" fillId="0" borderId="3" xfId="0" applyFont="1" applyFill="1" applyBorder="1" applyAlignment="1">
      <alignment horizontal="center" vertical="center" textRotation="90" wrapText="1"/>
    </xf>
    <xf numFmtId="0" fontId="43" fillId="0" borderId="53" xfId="0" applyFont="1" applyFill="1" applyBorder="1" applyAlignment="1">
      <alignment horizontal="center" vertical="top"/>
    </xf>
    <xf numFmtId="0" fontId="43" fillId="0" borderId="24" xfId="0" applyFont="1" applyFill="1" applyBorder="1" applyAlignment="1">
      <alignment horizontal="center" vertical="top"/>
    </xf>
    <xf numFmtId="0" fontId="43" fillId="0" borderId="58" xfId="0" applyFont="1" applyFill="1" applyBorder="1" applyAlignment="1">
      <alignment horizontal="center" vertical="top"/>
    </xf>
    <xf numFmtId="164" fontId="49" fillId="0" borderId="53" xfId="0" applyNumberFormat="1" applyFont="1" applyFill="1" applyBorder="1" applyAlignment="1">
      <alignment horizontal="left" vertical="top" wrapText="1"/>
    </xf>
    <xf numFmtId="164" fontId="49" fillId="0" borderId="24" xfId="0" applyNumberFormat="1" applyFont="1" applyFill="1" applyBorder="1" applyAlignment="1">
      <alignment horizontal="left" vertical="top" wrapText="1"/>
    </xf>
    <xf numFmtId="164" fontId="49" fillId="0" borderId="58" xfId="0" applyNumberFormat="1" applyFont="1" applyFill="1" applyBorder="1" applyAlignment="1">
      <alignment horizontal="left" vertical="top" wrapText="1"/>
    </xf>
    <xf numFmtId="49" fontId="22" fillId="0" borderId="53" xfId="0" applyNumberFormat="1" applyFont="1" applyFill="1" applyBorder="1" applyAlignment="1">
      <alignment horizontal="left" vertical="top" wrapText="1"/>
    </xf>
    <xf numFmtId="49" fontId="22" fillId="0" borderId="24" xfId="0" applyNumberFormat="1" applyFont="1" applyFill="1" applyBorder="1" applyAlignment="1">
      <alignment horizontal="left" vertical="top" wrapText="1"/>
    </xf>
    <xf numFmtId="49" fontId="22" fillId="0" borderId="58" xfId="0" applyNumberFormat="1" applyFont="1" applyFill="1" applyBorder="1" applyAlignment="1">
      <alignment horizontal="left" vertical="top" wrapText="1"/>
    </xf>
    <xf numFmtId="0" fontId="22" fillId="0" borderId="53" xfId="0" applyFont="1" applyFill="1" applyBorder="1" applyAlignment="1">
      <alignment horizontal="left" vertical="top" wrapText="1"/>
    </xf>
    <xf numFmtId="0" fontId="22" fillId="0" borderId="24" xfId="0" applyFont="1" applyFill="1" applyBorder="1" applyAlignment="1">
      <alignment horizontal="left" vertical="top" wrapText="1"/>
    </xf>
    <xf numFmtId="0" fontId="22" fillId="0" borderId="58" xfId="0" applyFont="1" applyFill="1" applyBorder="1" applyAlignment="1">
      <alignment horizontal="left" vertical="top" wrapText="1"/>
    </xf>
    <xf numFmtId="164" fontId="45" fillId="0" borderId="46" xfId="0" applyNumberFormat="1" applyFont="1" applyFill="1" applyBorder="1" applyAlignment="1">
      <alignment horizontal="center" vertical="top" wrapText="1"/>
    </xf>
    <xf numFmtId="164" fontId="45" fillId="0" borderId="2" xfId="0" applyNumberFormat="1" applyFont="1" applyFill="1" applyBorder="1" applyAlignment="1">
      <alignment horizontal="center" vertical="top" wrapText="1"/>
    </xf>
    <xf numFmtId="164" fontId="45" fillId="0" borderId="3" xfId="0" applyNumberFormat="1" applyFont="1" applyFill="1" applyBorder="1" applyAlignment="1">
      <alignment horizontal="center" vertical="top" wrapText="1"/>
    </xf>
    <xf numFmtId="49" fontId="6" fillId="0" borderId="47" xfId="0" applyNumberFormat="1" applyFont="1" applyFill="1" applyBorder="1" applyAlignment="1">
      <alignment horizontal="center" vertical="top"/>
    </xf>
    <xf numFmtId="49" fontId="6" fillId="0" borderId="8" xfId="0" applyNumberFormat="1" applyFont="1" applyFill="1" applyBorder="1" applyAlignment="1">
      <alignment horizontal="center" vertical="top"/>
    </xf>
    <xf numFmtId="49" fontId="6" fillId="0" borderId="4" xfId="0" applyNumberFormat="1" applyFont="1" applyFill="1" applyBorder="1" applyAlignment="1">
      <alignment horizontal="center" vertical="top"/>
    </xf>
    <xf numFmtId="49" fontId="45" fillId="4" borderId="46" xfId="0" applyNumberFormat="1" applyFont="1" applyFill="1" applyBorder="1" applyAlignment="1">
      <alignment horizontal="center" vertical="center" textRotation="90" wrapText="1"/>
    </xf>
    <xf numFmtId="164" fontId="45" fillId="0" borderId="41" xfId="0" applyNumberFormat="1" applyFont="1" applyFill="1" applyBorder="1" applyAlignment="1">
      <alignment horizontal="center" vertical="center" textRotation="90" wrapText="1"/>
    </xf>
    <xf numFmtId="164" fontId="45" fillId="0" borderId="2" xfId="0" applyNumberFormat="1" applyFont="1" applyFill="1" applyBorder="1" applyAlignment="1">
      <alignment horizontal="center" vertical="center" textRotation="90" wrapText="1"/>
    </xf>
    <xf numFmtId="164" fontId="45" fillId="0" borderId="3" xfId="0" applyNumberFormat="1" applyFont="1" applyFill="1" applyBorder="1" applyAlignment="1">
      <alignment horizontal="center" vertical="center" textRotation="90" wrapText="1"/>
    </xf>
    <xf numFmtId="164" fontId="45" fillId="0" borderId="1" xfId="0" applyNumberFormat="1" applyFont="1" applyFill="1" applyBorder="1" applyAlignment="1">
      <alignment horizontal="center" vertical="top" wrapText="1"/>
    </xf>
    <xf numFmtId="0" fontId="14" fillId="0" borderId="24" xfId="3" applyFont="1" applyFill="1" applyBorder="1" applyAlignment="1">
      <alignment horizontal="left" vertical="top" wrapText="1"/>
    </xf>
    <xf numFmtId="0" fontId="14" fillId="0" borderId="58" xfId="3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21" fillId="0" borderId="46" xfId="0" applyFont="1" applyBorder="1" applyAlignment="1">
      <alignment horizontal="center" vertical="center" textRotation="90" wrapText="1"/>
    </xf>
    <xf numFmtId="0" fontId="21" fillId="0" borderId="2" xfId="0" applyFont="1" applyBorder="1" applyAlignment="1">
      <alignment horizontal="center" vertical="center" textRotation="90" wrapText="1"/>
    </xf>
    <xf numFmtId="0" fontId="21" fillId="0" borderId="47" xfId="0" applyFont="1" applyBorder="1" applyAlignment="1">
      <alignment horizontal="center" vertical="center" textRotation="90" wrapText="1"/>
    </xf>
    <xf numFmtId="0" fontId="21" fillId="0" borderId="8" xfId="0" applyFont="1" applyBorder="1" applyAlignment="1">
      <alignment horizontal="center" vertical="center" textRotation="90" wrapText="1"/>
    </xf>
    <xf numFmtId="0" fontId="21" fillId="0" borderId="4" xfId="0" applyFont="1" applyBorder="1" applyAlignment="1">
      <alignment horizontal="center" vertical="center" textRotation="90" wrapText="1"/>
    </xf>
    <xf numFmtId="0" fontId="20" fillId="0" borderId="4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textRotation="90" wrapText="1"/>
    </xf>
    <xf numFmtId="0" fontId="21" fillId="0" borderId="42" xfId="0" applyFont="1" applyBorder="1" applyAlignment="1">
      <alignment horizontal="center" vertical="center" textRotation="90" wrapText="1"/>
    </xf>
    <xf numFmtId="0" fontId="21" fillId="0" borderId="77" xfId="0" applyFont="1" applyBorder="1" applyAlignment="1">
      <alignment horizontal="center" vertical="center" textRotation="90" wrapText="1"/>
    </xf>
    <xf numFmtId="0" fontId="21" fillId="0" borderId="36" xfId="0" applyFont="1" applyFill="1" applyBorder="1" applyAlignment="1">
      <alignment horizontal="center" vertical="center" textRotation="90" wrapText="1"/>
    </xf>
    <xf numFmtId="0" fontId="21" fillId="0" borderId="77" xfId="0" applyFont="1" applyFill="1" applyBorder="1" applyAlignment="1">
      <alignment horizontal="center" vertical="center" textRotation="90" wrapText="1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 textRotation="90" wrapText="1"/>
    </xf>
    <xf numFmtId="0" fontId="20" fillId="0" borderId="43" xfId="0" applyFont="1" applyBorder="1" applyAlignment="1">
      <alignment horizontal="center" vertical="center" textRotation="90" wrapText="1"/>
    </xf>
    <xf numFmtId="0" fontId="20" fillId="0" borderId="68" xfId="0" applyFont="1" applyBorder="1" applyAlignment="1">
      <alignment horizontal="center" vertical="center" textRotation="90" wrapText="1"/>
    </xf>
    <xf numFmtId="0" fontId="19" fillId="0" borderId="45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top"/>
    </xf>
    <xf numFmtId="49" fontId="6" fillId="0" borderId="24" xfId="0" applyNumberFormat="1" applyFont="1" applyFill="1" applyBorder="1" applyAlignment="1">
      <alignment horizontal="left" vertical="top" wrapText="1"/>
    </xf>
    <xf numFmtId="49" fontId="4" fillId="0" borderId="53" xfId="0" applyNumberFormat="1" applyFont="1" applyFill="1" applyBorder="1" applyAlignment="1">
      <alignment horizontal="left" vertical="top" wrapText="1"/>
    </xf>
    <xf numFmtId="49" fontId="4" fillId="0" borderId="24" xfId="0" applyNumberFormat="1" applyFont="1" applyFill="1" applyBorder="1" applyAlignment="1">
      <alignment horizontal="left" vertical="top" wrapText="1"/>
    </xf>
    <xf numFmtId="49" fontId="4" fillId="0" borderId="58" xfId="0" applyNumberFormat="1" applyFont="1" applyFill="1" applyBorder="1" applyAlignment="1">
      <alignment horizontal="left" vertical="top" wrapText="1"/>
    </xf>
    <xf numFmtId="164" fontId="45" fillId="0" borderId="41" xfId="0" applyNumberFormat="1" applyFont="1" applyFill="1" applyBorder="1" applyAlignment="1">
      <alignment horizontal="center" vertical="top" wrapText="1"/>
    </xf>
    <xf numFmtId="49" fontId="6" fillId="0" borderId="15" xfId="0" applyNumberFormat="1" applyFont="1" applyFill="1" applyBorder="1" applyAlignment="1">
      <alignment horizontal="center" vertical="top"/>
    </xf>
    <xf numFmtId="164" fontId="45" fillId="0" borderId="2" xfId="0" applyNumberFormat="1" applyFont="1" applyFill="1" applyBorder="1" applyAlignment="1">
      <alignment horizontal="center" vertical="top" textRotation="90" wrapText="1"/>
    </xf>
    <xf numFmtId="49" fontId="3" fillId="4" borderId="48" xfId="0" applyNumberFormat="1" applyFont="1" applyFill="1" applyBorder="1" applyAlignment="1">
      <alignment horizontal="center" vertical="top"/>
    </xf>
    <xf numFmtId="49" fontId="3" fillId="4" borderId="42" xfId="0" applyNumberFormat="1" applyFont="1" applyFill="1" applyBorder="1" applyAlignment="1">
      <alignment horizontal="center" vertical="top"/>
    </xf>
    <xf numFmtId="49" fontId="3" fillId="4" borderId="77" xfId="0" applyNumberFormat="1" applyFont="1" applyFill="1" applyBorder="1" applyAlignment="1">
      <alignment horizontal="center" vertical="top"/>
    </xf>
    <xf numFmtId="49" fontId="3" fillId="5" borderId="71" xfId="0" applyNumberFormat="1" applyFont="1" applyFill="1" applyBorder="1" applyAlignment="1">
      <alignment horizontal="right" vertical="top"/>
    </xf>
    <xf numFmtId="164" fontId="45" fillId="0" borderId="3" xfId="0" applyNumberFormat="1" applyFont="1" applyFill="1" applyBorder="1" applyAlignment="1">
      <alignment horizontal="center" vertical="top" textRotation="90" wrapText="1"/>
    </xf>
    <xf numFmtId="0" fontId="14" fillId="0" borderId="53" xfId="3" applyFont="1" applyFill="1" applyBorder="1" applyAlignment="1">
      <alignment vertical="top" wrapText="1"/>
    </xf>
    <xf numFmtId="0" fontId="14" fillId="0" borderId="24" xfId="3" applyFont="1" applyFill="1" applyBorder="1" applyAlignment="1">
      <alignment vertical="top" wrapText="1"/>
    </xf>
    <xf numFmtId="49" fontId="6" fillId="0" borderId="43" xfId="0" applyNumberFormat="1" applyFont="1" applyFill="1" applyBorder="1" applyAlignment="1">
      <alignment horizontal="left" vertical="top" wrapText="1"/>
    </xf>
    <xf numFmtId="49" fontId="6" fillId="0" borderId="68" xfId="0" applyNumberFormat="1" applyFont="1" applyFill="1" applyBorder="1" applyAlignment="1">
      <alignment horizontal="left" vertical="top" wrapText="1"/>
    </xf>
    <xf numFmtId="49" fontId="6" fillId="0" borderId="53" xfId="0" applyNumberFormat="1" applyFont="1" applyFill="1" applyBorder="1" applyAlignment="1">
      <alignment horizontal="left" vertical="top" wrapText="1"/>
    </xf>
    <xf numFmtId="49" fontId="6" fillId="0" borderId="58" xfId="0" applyNumberFormat="1" applyFont="1" applyFill="1" applyBorder="1" applyAlignment="1">
      <alignment horizontal="left" vertical="top" wrapText="1"/>
    </xf>
    <xf numFmtId="164" fontId="45" fillId="0" borderId="80" xfId="0" applyNumberFormat="1" applyFont="1" applyFill="1" applyBorder="1" applyAlignment="1">
      <alignment horizontal="center" vertical="top" wrapText="1"/>
    </xf>
    <xf numFmtId="164" fontId="45" fillId="0" borderId="16" xfId="0" applyNumberFormat="1" applyFont="1" applyFill="1" applyBorder="1" applyAlignment="1">
      <alignment horizontal="center" vertical="top" wrapText="1"/>
    </xf>
    <xf numFmtId="0" fontId="45" fillId="0" borderId="41" xfId="0" applyFont="1" applyFill="1" applyBorder="1" applyAlignment="1">
      <alignment horizontal="center" vertical="center" textRotation="90" wrapText="1"/>
    </xf>
    <xf numFmtId="0" fontId="45" fillId="0" borderId="2" xfId="0" applyFont="1" applyFill="1" applyBorder="1" applyAlignment="1">
      <alignment horizontal="center" vertical="center" textRotation="90" wrapText="1"/>
    </xf>
    <xf numFmtId="0" fontId="45" fillId="0" borderId="3" xfId="0" applyFont="1" applyFill="1" applyBorder="1" applyAlignment="1">
      <alignment horizontal="center" vertical="center" textRotation="90" wrapText="1"/>
    </xf>
    <xf numFmtId="49" fontId="3" fillId="0" borderId="48" xfId="0" applyNumberFormat="1" applyFont="1" applyFill="1" applyBorder="1" applyAlignment="1">
      <alignment horizontal="center" vertical="top"/>
    </xf>
    <xf numFmtId="49" fontId="3" fillId="0" borderId="42" xfId="0" applyNumberFormat="1" applyFont="1" applyFill="1" applyBorder="1" applyAlignment="1">
      <alignment horizontal="center" vertical="top"/>
    </xf>
    <xf numFmtId="49" fontId="3" fillId="0" borderId="77" xfId="0" applyNumberFormat="1" applyFont="1" applyFill="1" applyBorder="1" applyAlignment="1">
      <alignment horizontal="center" vertical="top"/>
    </xf>
    <xf numFmtId="164" fontId="45" fillId="0" borderId="82" xfId="0" applyNumberFormat="1" applyFont="1" applyFill="1" applyBorder="1" applyAlignment="1">
      <alignment horizontal="center" vertical="top" wrapText="1"/>
    </xf>
    <xf numFmtId="164" fontId="45" fillId="0" borderId="44" xfId="0" applyNumberFormat="1" applyFont="1" applyFill="1" applyBorder="1" applyAlignment="1">
      <alignment horizontal="center" vertical="top" wrapText="1"/>
    </xf>
    <xf numFmtId="164" fontId="8" fillId="0" borderId="2" xfId="0" applyNumberFormat="1" applyFont="1" applyFill="1" applyBorder="1" applyAlignment="1">
      <alignment horizontal="center" vertical="center" textRotation="90" wrapText="1"/>
    </xf>
    <xf numFmtId="164" fontId="8" fillId="0" borderId="3" xfId="0" applyNumberFormat="1" applyFont="1" applyFill="1" applyBorder="1" applyAlignment="1">
      <alignment horizontal="center" vertical="center" textRotation="90" wrapText="1"/>
    </xf>
    <xf numFmtId="49" fontId="4" fillId="0" borderId="49" xfId="0" applyNumberFormat="1" applyFont="1" applyFill="1" applyBorder="1" applyAlignment="1">
      <alignment horizontal="left" vertical="top" wrapText="1"/>
    </xf>
    <xf numFmtId="49" fontId="4" fillId="0" borderId="43" xfId="0" applyNumberFormat="1" applyFont="1" applyFill="1" applyBorder="1" applyAlignment="1">
      <alignment horizontal="left" vertical="top" wrapText="1"/>
    </xf>
    <xf numFmtId="164" fontId="45" fillId="0" borderId="41" xfId="0" applyNumberFormat="1" applyFont="1" applyFill="1" applyBorder="1" applyAlignment="1">
      <alignment horizontal="center" vertical="top" textRotation="90" wrapText="1"/>
    </xf>
    <xf numFmtId="49" fontId="14" fillId="3" borderId="66" xfId="0" applyNumberFormat="1" applyFont="1" applyFill="1" applyBorder="1" applyAlignment="1">
      <alignment horizontal="left" vertical="top"/>
    </xf>
    <xf numFmtId="49" fontId="14" fillId="3" borderId="67" xfId="0" applyNumberFormat="1" applyFont="1" applyFill="1" applyBorder="1" applyAlignment="1">
      <alignment horizontal="left" vertical="top"/>
    </xf>
    <xf numFmtId="49" fontId="14" fillId="3" borderId="7" xfId="0" applyNumberFormat="1" applyFont="1" applyFill="1" applyBorder="1" applyAlignment="1">
      <alignment horizontal="left" vertical="top"/>
    </xf>
    <xf numFmtId="49" fontId="14" fillId="3" borderId="25" xfId="0" applyNumberFormat="1" applyFont="1" applyFill="1" applyBorder="1" applyAlignment="1">
      <alignment horizontal="left" vertical="top"/>
    </xf>
    <xf numFmtId="0" fontId="46" fillId="0" borderId="41" xfId="0" applyFont="1" applyBorder="1" applyAlignment="1">
      <alignment horizontal="center" vertical="center" textRotation="90" wrapText="1"/>
    </xf>
    <xf numFmtId="0" fontId="46" fillId="0" borderId="2" xfId="0" applyFont="1" applyBorder="1" applyAlignment="1">
      <alignment horizontal="center" vertical="center" textRotation="90" wrapText="1"/>
    </xf>
    <xf numFmtId="0" fontId="46" fillId="0" borderId="3" xfId="0" applyFont="1" applyBorder="1" applyAlignment="1">
      <alignment horizontal="center" vertical="center" textRotation="90" wrapText="1"/>
    </xf>
    <xf numFmtId="49" fontId="4" fillId="3" borderId="66" xfId="0" applyNumberFormat="1" applyFont="1" applyFill="1" applyBorder="1" applyAlignment="1">
      <alignment horizontal="right" vertical="top"/>
    </xf>
    <xf numFmtId="49" fontId="4" fillId="3" borderId="67" xfId="0" applyNumberFormat="1" applyFont="1" applyFill="1" applyBorder="1" applyAlignment="1">
      <alignment horizontal="right" vertical="top"/>
    </xf>
    <xf numFmtId="49" fontId="19" fillId="0" borderId="48" xfId="0" applyNumberFormat="1" applyFont="1" applyFill="1" applyBorder="1" applyAlignment="1">
      <alignment horizontal="center" vertical="top"/>
    </xf>
    <xf numFmtId="49" fontId="19" fillId="0" borderId="42" xfId="0" applyNumberFormat="1" applyFont="1" applyFill="1" applyBorder="1" applyAlignment="1">
      <alignment horizontal="center" vertical="top"/>
    </xf>
    <xf numFmtId="49" fontId="19" fillId="0" borderId="77" xfId="0" applyNumberFormat="1" applyFont="1" applyFill="1" applyBorder="1" applyAlignment="1">
      <alignment horizontal="center" vertical="top"/>
    </xf>
    <xf numFmtId="49" fontId="20" fillId="0" borderId="47" xfId="0" applyNumberFormat="1" applyFont="1" applyBorder="1" applyAlignment="1">
      <alignment horizontal="center" vertical="top" wrapText="1"/>
    </xf>
    <xf numFmtId="49" fontId="20" fillId="0" borderId="8" xfId="0" applyNumberFormat="1" applyFont="1" applyBorder="1" applyAlignment="1">
      <alignment horizontal="center" vertical="top" wrapText="1"/>
    </xf>
    <xf numFmtId="49" fontId="20" fillId="0" borderId="4" xfId="0" applyNumberFormat="1" applyFont="1" applyBorder="1" applyAlignment="1">
      <alignment horizontal="center" vertical="top" wrapText="1"/>
    </xf>
    <xf numFmtId="49" fontId="19" fillId="2" borderId="46" xfId="0" applyNumberFormat="1" applyFont="1" applyFill="1" applyBorder="1" applyAlignment="1">
      <alignment horizontal="center" vertical="top" wrapText="1"/>
    </xf>
    <xf numFmtId="49" fontId="19" fillId="2" borderId="2" xfId="0" applyNumberFormat="1" applyFont="1" applyFill="1" applyBorder="1" applyAlignment="1">
      <alignment horizontal="center" vertical="top" wrapText="1"/>
    </xf>
    <xf numFmtId="49" fontId="19" fillId="2" borderId="3" xfId="0" applyNumberFormat="1" applyFont="1" applyFill="1" applyBorder="1" applyAlignment="1">
      <alignment horizontal="center" vertical="top" wrapText="1"/>
    </xf>
    <xf numFmtId="49" fontId="6" fillId="0" borderId="47" xfId="0" applyNumberFormat="1" applyFont="1" applyFill="1" applyBorder="1" applyAlignment="1">
      <alignment horizontal="center" vertical="top" wrapText="1"/>
    </xf>
    <xf numFmtId="49" fontId="6" fillId="0" borderId="8" xfId="0" applyNumberFormat="1" applyFont="1" applyFill="1" applyBorder="1" applyAlignment="1">
      <alignment horizontal="center"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wrapText="1"/>
    </xf>
    <xf numFmtId="0" fontId="22" fillId="4" borderId="49" xfId="0" applyFont="1" applyFill="1" applyBorder="1" applyAlignment="1">
      <alignment horizontal="center" vertical="center" wrapText="1"/>
    </xf>
    <xf numFmtId="0" fontId="22" fillId="4" borderId="43" xfId="0" applyFont="1" applyFill="1" applyBorder="1" applyAlignment="1">
      <alignment horizontal="center" vertical="center" wrapText="1"/>
    </xf>
    <xf numFmtId="0" fontId="22" fillId="4" borderId="68" xfId="0" applyFont="1" applyFill="1" applyBorder="1" applyAlignment="1">
      <alignment horizontal="center" vertical="center" wrapText="1"/>
    </xf>
    <xf numFmtId="0" fontId="22" fillId="4" borderId="82" xfId="0" applyFont="1" applyFill="1" applyBorder="1" applyAlignment="1">
      <alignment horizontal="center" vertical="center" wrapText="1"/>
    </xf>
    <xf numFmtId="0" fontId="22" fillId="4" borderId="44" xfId="0" applyFont="1" applyFill="1" applyBorder="1" applyAlignment="1">
      <alignment horizontal="center" vertical="center" wrapText="1"/>
    </xf>
    <xf numFmtId="0" fontId="22" fillId="4" borderId="75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0" fontId="37" fillId="0" borderId="75" xfId="0" applyFont="1" applyBorder="1" applyAlignment="1">
      <alignment horizontal="center" vertical="center" wrapText="1"/>
    </xf>
    <xf numFmtId="0" fontId="31" fillId="0" borderId="10" xfId="2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1" fillId="0" borderId="14" xfId="2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/>
    </xf>
  </cellXfs>
  <cellStyles count="4">
    <cellStyle name="Įprastas" xfId="0" builtinId="0"/>
    <cellStyle name="Įprastas 2" xfId="1"/>
    <cellStyle name="Normal_biudz uz 2001 atskaitomybe3" xfId="2"/>
    <cellStyle name="Normal_sam_pried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9"/>
  <sheetViews>
    <sheetView tabSelected="1" zoomScaleNormal="100" zoomScaleSheetLayoutView="100" workbookViewId="0"/>
  </sheetViews>
  <sheetFormatPr defaultRowHeight="12.75"/>
  <cols>
    <col min="1" max="1" width="2.7109375" style="72" customWidth="1"/>
    <col min="2" max="3" width="2.42578125" style="72" customWidth="1"/>
    <col min="4" max="4" width="60.7109375" style="72" customWidth="1"/>
    <col min="5" max="5" width="2.7109375" style="476" customWidth="1"/>
    <col min="6" max="6" width="2.7109375" style="84" customWidth="1"/>
    <col min="7" max="7" width="2.7109375" style="72" customWidth="1"/>
    <col min="8" max="8" width="7.7109375" style="84" customWidth="1"/>
    <col min="9" max="22" width="7.7109375" style="72" customWidth="1"/>
    <col min="23" max="16384" width="9.140625" style="72"/>
  </cols>
  <sheetData>
    <row r="1" spans="1:22">
      <c r="V1" s="348" t="s">
        <v>222</v>
      </c>
    </row>
    <row r="2" spans="1:22" ht="26.25" customHeight="1">
      <c r="A2" s="734" t="s">
        <v>223</v>
      </c>
      <c r="B2" s="734"/>
      <c r="C2" s="734"/>
      <c r="D2" s="734"/>
      <c r="E2" s="734"/>
      <c r="F2" s="734"/>
      <c r="G2" s="734"/>
      <c r="H2" s="734"/>
      <c r="I2" s="734"/>
      <c r="J2" s="734"/>
      <c r="K2" s="734"/>
      <c r="L2" s="734"/>
      <c r="M2" s="734"/>
      <c r="N2" s="734"/>
      <c r="O2" s="734"/>
      <c r="P2" s="734"/>
      <c r="Q2" s="734"/>
      <c r="R2" s="734"/>
      <c r="S2" s="734"/>
      <c r="T2" s="734"/>
      <c r="U2" s="734"/>
      <c r="V2" s="734"/>
    </row>
    <row r="3" spans="1:22" ht="15" customHeight="1">
      <c r="A3" s="734" t="s">
        <v>191</v>
      </c>
      <c r="B3" s="734"/>
      <c r="C3" s="734"/>
      <c r="D3" s="734"/>
      <c r="E3" s="734"/>
      <c r="F3" s="734"/>
      <c r="G3" s="734"/>
      <c r="H3" s="734"/>
      <c r="I3" s="734"/>
      <c r="J3" s="734"/>
      <c r="K3" s="734"/>
      <c r="L3" s="734"/>
      <c r="M3" s="734"/>
      <c r="N3" s="734"/>
      <c r="O3" s="734"/>
      <c r="P3" s="734"/>
      <c r="Q3" s="734"/>
      <c r="R3" s="734"/>
      <c r="S3" s="734"/>
      <c r="T3" s="734"/>
      <c r="U3" s="734"/>
      <c r="V3" s="734"/>
    </row>
    <row r="4" spans="1:22" ht="15" customHeight="1" thickBot="1">
      <c r="A4" s="1"/>
      <c r="B4" s="1"/>
      <c r="C4" s="1"/>
      <c r="D4" s="86"/>
      <c r="E4" s="477"/>
      <c r="F4" s="27"/>
      <c r="G4" s="1"/>
      <c r="H4" s="14"/>
      <c r="I4" s="79"/>
      <c r="J4" s="79"/>
      <c r="K4" s="79"/>
      <c r="L4" s="79"/>
      <c r="M4" s="1"/>
      <c r="N4" s="1"/>
      <c r="O4" s="1"/>
      <c r="P4" s="1"/>
      <c r="Q4" s="1"/>
      <c r="R4" s="1"/>
      <c r="S4" s="1"/>
      <c r="T4" s="1"/>
      <c r="U4" s="1"/>
      <c r="V4" s="301" t="s">
        <v>32</v>
      </c>
    </row>
    <row r="5" spans="1:22" s="71" customFormat="1" ht="36.75" customHeight="1">
      <c r="A5" s="735" t="s">
        <v>0</v>
      </c>
      <c r="B5" s="737" t="s">
        <v>1</v>
      </c>
      <c r="C5" s="737" t="s">
        <v>2</v>
      </c>
      <c r="D5" s="740" t="s">
        <v>47</v>
      </c>
      <c r="E5" s="695" t="s">
        <v>3</v>
      </c>
      <c r="F5" s="743" t="s">
        <v>129</v>
      </c>
      <c r="G5" s="690" t="s">
        <v>4</v>
      </c>
      <c r="H5" s="750" t="s">
        <v>5</v>
      </c>
      <c r="I5" s="687" t="s">
        <v>148</v>
      </c>
      <c r="J5" s="688"/>
      <c r="K5" s="688"/>
      <c r="L5" s="689"/>
      <c r="M5" s="687" t="s">
        <v>176</v>
      </c>
      <c r="N5" s="688"/>
      <c r="O5" s="688"/>
      <c r="P5" s="689"/>
      <c r="Q5" s="753" t="s">
        <v>155</v>
      </c>
      <c r="R5" s="688"/>
      <c r="S5" s="688"/>
      <c r="T5" s="754"/>
      <c r="U5" s="684" t="s">
        <v>164</v>
      </c>
      <c r="V5" s="684" t="s">
        <v>165</v>
      </c>
    </row>
    <row r="6" spans="1:22" s="71" customFormat="1" ht="15" customHeight="1">
      <c r="A6" s="736"/>
      <c r="B6" s="738"/>
      <c r="C6" s="738"/>
      <c r="D6" s="741"/>
      <c r="E6" s="696"/>
      <c r="F6" s="744"/>
      <c r="G6" s="691"/>
      <c r="H6" s="751"/>
      <c r="I6" s="693" t="s">
        <v>6</v>
      </c>
      <c r="J6" s="748" t="s">
        <v>7</v>
      </c>
      <c r="K6" s="749"/>
      <c r="L6" s="746" t="s">
        <v>125</v>
      </c>
      <c r="M6" s="693" t="s">
        <v>6</v>
      </c>
      <c r="N6" s="748" t="s">
        <v>7</v>
      </c>
      <c r="O6" s="749"/>
      <c r="P6" s="746" t="s">
        <v>125</v>
      </c>
      <c r="Q6" s="693" t="s">
        <v>6</v>
      </c>
      <c r="R6" s="748" t="s">
        <v>7</v>
      </c>
      <c r="S6" s="749"/>
      <c r="T6" s="746" t="s">
        <v>125</v>
      </c>
      <c r="U6" s="685"/>
      <c r="V6" s="685"/>
    </row>
    <row r="7" spans="1:22" s="71" customFormat="1" ht="88.5" customHeight="1" thickBot="1">
      <c r="A7" s="694"/>
      <c r="B7" s="739"/>
      <c r="C7" s="739"/>
      <c r="D7" s="742"/>
      <c r="E7" s="697"/>
      <c r="F7" s="745"/>
      <c r="G7" s="692"/>
      <c r="H7" s="752"/>
      <c r="I7" s="694"/>
      <c r="J7" s="77" t="s">
        <v>6</v>
      </c>
      <c r="K7" s="78" t="s">
        <v>126</v>
      </c>
      <c r="L7" s="747"/>
      <c r="M7" s="694"/>
      <c r="N7" s="77" t="s">
        <v>6</v>
      </c>
      <c r="O7" s="78" t="s">
        <v>126</v>
      </c>
      <c r="P7" s="747"/>
      <c r="Q7" s="694"/>
      <c r="R7" s="77" t="s">
        <v>6</v>
      </c>
      <c r="S7" s="78" t="s">
        <v>126</v>
      </c>
      <c r="T7" s="747"/>
      <c r="U7" s="686"/>
      <c r="V7" s="686"/>
    </row>
    <row r="8" spans="1:22" ht="15.75" customHeight="1">
      <c r="A8" s="681" t="s">
        <v>115</v>
      </c>
      <c r="B8" s="682"/>
      <c r="C8" s="682"/>
      <c r="D8" s="682"/>
      <c r="E8" s="682"/>
      <c r="F8" s="682"/>
      <c r="G8" s="682"/>
      <c r="H8" s="682"/>
      <c r="I8" s="682"/>
      <c r="J8" s="682"/>
      <c r="K8" s="682"/>
      <c r="L8" s="682"/>
      <c r="M8" s="682"/>
      <c r="N8" s="682"/>
      <c r="O8" s="682"/>
      <c r="P8" s="682"/>
      <c r="Q8" s="682"/>
      <c r="R8" s="682"/>
      <c r="S8" s="682"/>
      <c r="T8" s="682"/>
      <c r="U8" s="682"/>
      <c r="V8" s="683"/>
    </row>
    <row r="9" spans="1:22" ht="15.75" customHeight="1">
      <c r="A9" s="698" t="s">
        <v>31</v>
      </c>
      <c r="B9" s="699"/>
      <c r="C9" s="699"/>
      <c r="D9" s="699"/>
      <c r="E9" s="699"/>
      <c r="F9" s="699"/>
      <c r="G9" s="699"/>
      <c r="H9" s="699"/>
      <c r="I9" s="699"/>
      <c r="J9" s="699"/>
      <c r="K9" s="699"/>
      <c r="L9" s="699"/>
      <c r="M9" s="699"/>
      <c r="N9" s="699"/>
      <c r="O9" s="699"/>
      <c r="P9" s="699"/>
      <c r="Q9" s="699"/>
      <c r="R9" s="699"/>
      <c r="S9" s="699"/>
      <c r="T9" s="699"/>
      <c r="U9" s="699"/>
      <c r="V9" s="700"/>
    </row>
    <row r="10" spans="1:22" ht="15.75" customHeight="1">
      <c r="A10" s="2" t="s">
        <v>8</v>
      </c>
      <c r="B10" s="678" t="s">
        <v>37</v>
      </c>
      <c r="C10" s="679"/>
      <c r="D10" s="679"/>
      <c r="E10" s="679"/>
      <c r="F10" s="679"/>
      <c r="G10" s="679"/>
      <c r="H10" s="679"/>
      <c r="I10" s="679"/>
      <c r="J10" s="679"/>
      <c r="K10" s="679"/>
      <c r="L10" s="679"/>
      <c r="M10" s="679"/>
      <c r="N10" s="679"/>
      <c r="O10" s="679"/>
      <c r="P10" s="679"/>
      <c r="Q10" s="679"/>
      <c r="R10" s="679"/>
      <c r="S10" s="679"/>
      <c r="T10" s="679"/>
      <c r="U10" s="679"/>
      <c r="V10" s="680"/>
    </row>
    <row r="11" spans="1:22" ht="15.75" customHeight="1" thickBot="1">
      <c r="A11" s="88" t="s">
        <v>8</v>
      </c>
      <c r="B11" s="91" t="s">
        <v>8</v>
      </c>
      <c r="C11" s="675" t="s">
        <v>48</v>
      </c>
      <c r="D11" s="676"/>
      <c r="E11" s="676"/>
      <c r="F11" s="676"/>
      <c r="G11" s="676"/>
      <c r="H11" s="676"/>
      <c r="I11" s="676"/>
      <c r="J11" s="676"/>
      <c r="K11" s="676"/>
      <c r="L11" s="676"/>
      <c r="M11" s="676"/>
      <c r="N11" s="676"/>
      <c r="O11" s="676"/>
      <c r="P11" s="676"/>
      <c r="Q11" s="676"/>
      <c r="R11" s="676"/>
      <c r="S11" s="676"/>
      <c r="T11" s="676"/>
      <c r="U11" s="676"/>
      <c r="V11" s="677"/>
    </row>
    <row r="12" spans="1:22" ht="15" customHeight="1">
      <c r="A12" s="549" t="s">
        <v>8</v>
      </c>
      <c r="B12" s="552" t="s">
        <v>8</v>
      </c>
      <c r="C12" s="555" t="s">
        <v>8</v>
      </c>
      <c r="D12" s="215" t="s">
        <v>159</v>
      </c>
      <c r="E12" s="774" t="s">
        <v>22</v>
      </c>
      <c r="F12" s="724" t="s">
        <v>12</v>
      </c>
      <c r="G12" s="645" t="s">
        <v>144</v>
      </c>
      <c r="H12" s="230" t="s">
        <v>11</v>
      </c>
      <c r="I12" s="113">
        <f t="shared" ref="I12:I18" si="0">J12+L12</f>
        <v>0</v>
      </c>
      <c r="J12" s="114"/>
      <c r="K12" s="114"/>
      <c r="L12" s="115"/>
      <c r="M12" s="113">
        <f t="shared" ref="M12:M18" si="1">N12+P12</f>
        <v>0</v>
      </c>
      <c r="N12" s="224"/>
      <c r="O12" s="224"/>
      <c r="P12" s="225"/>
      <c r="Q12" s="411">
        <f t="shared" ref="Q12:Q18" si="2">R12+T12</f>
        <v>0</v>
      </c>
      <c r="R12" s="403"/>
      <c r="S12" s="403"/>
      <c r="T12" s="404"/>
      <c r="U12" s="226">
        <v>64.2</v>
      </c>
      <c r="V12" s="226"/>
    </row>
    <row r="13" spans="1:22" ht="15" customHeight="1">
      <c r="A13" s="550"/>
      <c r="B13" s="553"/>
      <c r="C13" s="556"/>
      <c r="D13" s="216" t="s">
        <v>199</v>
      </c>
      <c r="E13" s="775"/>
      <c r="F13" s="725"/>
      <c r="G13" s="646"/>
      <c r="H13" s="231" t="s">
        <v>184</v>
      </c>
      <c r="I13" s="222">
        <f t="shared" si="0"/>
        <v>0</v>
      </c>
      <c r="J13" s="221"/>
      <c r="K13" s="221"/>
      <c r="L13" s="223"/>
      <c r="M13" s="222">
        <f t="shared" si="1"/>
        <v>513.5</v>
      </c>
      <c r="N13" s="221"/>
      <c r="O13" s="221"/>
      <c r="P13" s="223">
        <v>513.5</v>
      </c>
      <c r="Q13" s="414">
        <f t="shared" si="2"/>
        <v>513.5</v>
      </c>
      <c r="R13" s="460"/>
      <c r="S13" s="460"/>
      <c r="T13" s="461">
        <v>513.5</v>
      </c>
      <c r="U13" s="227">
        <v>513.5</v>
      </c>
      <c r="V13" s="227"/>
    </row>
    <row r="14" spans="1:22" ht="15" customHeight="1">
      <c r="A14" s="550"/>
      <c r="B14" s="553"/>
      <c r="C14" s="556"/>
      <c r="D14" s="217" t="s">
        <v>200</v>
      </c>
      <c r="E14" s="775"/>
      <c r="F14" s="725"/>
      <c r="G14" s="646"/>
      <c r="H14" s="231" t="s">
        <v>18</v>
      </c>
      <c r="I14" s="222">
        <f t="shared" si="0"/>
        <v>1381.1</v>
      </c>
      <c r="J14" s="221"/>
      <c r="K14" s="221"/>
      <c r="L14" s="223">
        <v>1381.1</v>
      </c>
      <c r="M14" s="222">
        <f t="shared" si="1"/>
        <v>1385.4</v>
      </c>
      <c r="N14" s="221"/>
      <c r="O14" s="221"/>
      <c r="P14" s="223">
        <v>1385.4</v>
      </c>
      <c r="Q14" s="414">
        <f t="shared" si="2"/>
        <v>1385.4</v>
      </c>
      <c r="R14" s="406"/>
      <c r="S14" s="406"/>
      <c r="T14" s="407">
        <v>1385.4</v>
      </c>
      <c r="U14" s="227">
        <f>1385.4+643+1212.2-643</f>
        <v>2597.6000000000004</v>
      </c>
      <c r="V14" s="227">
        <f>643-643</f>
        <v>0</v>
      </c>
    </row>
    <row r="15" spans="1:22" ht="15" customHeight="1">
      <c r="A15" s="550"/>
      <c r="B15" s="553"/>
      <c r="C15" s="556"/>
      <c r="D15" s="217" t="s">
        <v>201</v>
      </c>
      <c r="E15" s="762" t="s">
        <v>138</v>
      </c>
      <c r="F15" s="725"/>
      <c r="G15" s="646"/>
      <c r="H15" s="231" t="s">
        <v>53</v>
      </c>
      <c r="I15" s="222">
        <f t="shared" si="0"/>
        <v>400</v>
      </c>
      <c r="J15" s="221"/>
      <c r="K15" s="221"/>
      <c r="L15" s="223">
        <v>400</v>
      </c>
      <c r="M15" s="222">
        <f t="shared" si="1"/>
        <v>0</v>
      </c>
      <c r="N15" s="221"/>
      <c r="O15" s="221"/>
      <c r="P15" s="223"/>
      <c r="Q15" s="414">
        <f t="shared" si="2"/>
        <v>0</v>
      </c>
      <c r="R15" s="406"/>
      <c r="S15" s="406"/>
      <c r="T15" s="407"/>
      <c r="U15" s="227">
        <f>1139.4</f>
        <v>1139.4000000000001</v>
      </c>
      <c r="V15" s="227"/>
    </row>
    <row r="16" spans="1:22" ht="15" customHeight="1">
      <c r="A16" s="550"/>
      <c r="B16" s="553"/>
      <c r="C16" s="556"/>
      <c r="D16" s="756" t="s">
        <v>198</v>
      </c>
      <c r="E16" s="762"/>
      <c r="F16" s="725"/>
      <c r="G16" s="646"/>
      <c r="H16" s="232" t="s">
        <v>110</v>
      </c>
      <c r="I16" s="222">
        <f t="shared" si="0"/>
        <v>0</v>
      </c>
      <c r="J16" s="219"/>
      <c r="K16" s="219"/>
      <c r="L16" s="220"/>
      <c r="M16" s="222">
        <f t="shared" si="1"/>
        <v>171.1</v>
      </c>
      <c r="N16" s="219"/>
      <c r="O16" s="219"/>
      <c r="P16" s="220">
        <v>171.1</v>
      </c>
      <c r="Q16" s="414">
        <f t="shared" si="2"/>
        <v>171.1</v>
      </c>
      <c r="R16" s="406"/>
      <c r="S16" s="406"/>
      <c r="T16" s="455">
        <v>171.1</v>
      </c>
      <c r="U16" s="227">
        <f>171.1+79.4+149.8-79.4</f>
        <v>320.89999999999998</v>
      </c>
      <c r="V16" s="228">
        <f>79.4-79.4</f>
        <v>0</v>
      </c>
    </row>
    <row r="17" spans="1:22" ht="15" customHeight="1">
      <c r="A17" s="550"/>
      <c r="B17" s="553"/>
      <c r="C17" s="556"/>
      <c r="D17" s="756"/>
      <c r="E17" s="762"/>
      <c r="F17" s="725"/>
      <c r="G17" s="646"/>
      <c r="H17" s="232" t="s">
        <v>25</v>
      </c>
      <c r="I17" s="222">
        <f t="shared" si="0"/>
        <v>0</v>
      </c>
      <c r="J17" s="219"/>
      <c r="K17" s="219"/>
      <c r="L17" s="220"/>
      <c r="M17" s="222">
        <f t="shared" si="1"/>
        <v>0</v>
      </c>
      <c r="N17" s="219"/>
      <c r="O17" s="219"/>
      <c r="P17" s="220"/>
      <c r="Q17" s="414">
        <f t="shared" si="2"/>
        <v>0</v>
      </c>
      <c r="R17" s="406"/>
      <c r="S17" s="406"/>
      <c r="T17" s="455"/>
      <c r="U17" s="227">
        <f>659.1-659.1</f>
        <v>0</v>
      </c>
      <c r="V17" s="228">
        <f>659.1-659.1</f>
        <v>0</v>
      </c>
    </row>
    <row r="18" spans="1:22" ht="15" customHeight="1">
      <c r="A18" s="550"/>
      <c r="B18" s="553"/>
      <c r="C18" s="556"/>
      <c r="D18" s="517" t="s">
        <v>236</v>
      </c>
      <c r="E18" s="762"/>
      <c r="F18" s="725"/>
      <c r="G18" s="646"/>
      <c r="H18" s="232" t="s">
        <v>30</v>
      </c>
      <c r="I18" s="222">
        <f t="shared" si="0"/>
        <v>200</v>
      </c>
      <c r="J18" s="219"/>
      <c r="K18" s="219"/>
      <c r="L18" s="220">
        <v>200</v>
      </c>
      <c r="M18" s="222">
        <f t="shared" si="1"/>
        <v>200</v>
      </c>
      <c r="N18" s="219"/>
      <c r="O18" s="219"/>
      <c r="P18" s="220">
        <v>200</v>
      </c>
      <c r="Q18" s="442">
        <f t="shared" si="2"/>
        <v>200</v>
      </c>
      <c r="R18" s="409"/>
      <c r="S18" s="409"/>
      <c r="T18" s="446">
        <v>200</v>
      </c>
      <c r="U18" s="233"/>
      <c r="V18" s="228"/>
    </row>
    <row r="19" spans="1:22" ht="15" customHeight="1" thickBot="1">
      <c r="A19" s="551"/>
      <c r="B19" s="554"/>
      <c r="C19" s="557"/>
      <c r="D19" s="254"/>
      <c r="E19" s="767"/>
      <c r="F19" s="726"/>
      <c r="G19" s="649"/>
      <c r="H19" s="462" t="s">
        <v>20</v>
      </c>
      <c r="I19" s="375">
        <f t="shared" ref="I19:V19" si="3">SUM(I12:I18)</f>
        <v>1981.1</v>
      </c>
      <c r="J19" s="437">
        <f t="shared" si="3"/>
        <v>0</v>
      </c>
      <c r="K19" s="437">
        <f t="shared" si="3"/>
        <v>0</v>
      </c>
      <c r="L19" s="360">
        <f t="shared" si="3"/>
        <v>1981.1</v>
      </c>
      <c r="M19" s="375">
        <f t="shared" si="3"/>
        <v>2270</v>
      </c>
      <c r="N19" s="437">
        <f t="shared" si="3"/>
        <v>0</v>
      </c>
      <c r="O19" s="437">
        <f t="shared" si="3"/>
        <v>0</v>
      </c>
      <c r="P19" s="360">
        <f t="shared" si="3"/>
        <v>2270</v>
      </c>
      <c r="Q19" s="375">
        <f t="shared" si="3"/>
        <v>2270</v>
      </c>
      <c r="R19" s="437">
        <f t="shared" si="3"/>
        <v>0</v>
      </c>
      <c r="S19" s="437">
        <f t="shared" si="3"/>
        <v>0</v>
      </c>
      <c r="T19" s="360">
        <f t="shared" si="3"/>
        <v>2270</v>
      </c>
      <c r="U19" s="362">
        <f>SUM(U12:U18)</f>
        <v>4635.6000000000004</v>
      </c>
      <c r="V19" s="362">
        <f t="shared" si="3"/>
        <v>0</v>
      </c>
    </row>
    <row r="20" spans="1:22" ht="15.75" customHeight="1">
      <c r="A20" s="549" t="s">
        <v>8</v>
      </c>
      <c r="B20" s="552" t="s">
        <v>8</v>
      </c>
      <c r="C20" s="763" t="s">
        <v>9</v>
      </c>
      <c r="D20" s="218" t="s">
        <v>160</v>
      </c>
      <c r="E20" s="782" t="s">
        <v>22</v>
      </c>
      <c r="F20" s="724" t="s">
        <v>12</v>
      </c>
      <c r="G20" s="645" t="s">
        <v>144</v>
      </c>
      <c r="H20" s="230" t="s">
        <v>11</v>
      </c>
      <c r="I20" s="113">
        <f t="shared" ref="I20:I26" si="4">J20+L20</f>
        <v>0</v>
      </c>
      <c r="J20" s="114"/>
      <c r="K20" s="114"/>
      <c r="L20" s="115"/>
      <c r="M20" s="113">
        <f t="shared" ref="M20:M26" si="5">N20+P20</f>
        <v>0</v>
      </c>
      <c r="N20" s="224"/>
      <c r="O20" s="224"/>
      <c r="P20" s="225"/>
      <c r="Q20" s="411">
        <f t="shared" ref="Q20:Q26" si="6">R20+T20</f>
        <v>0</v>
      </c>
      <c r="R20" s="403"/>
      <c r="S20" s="403"/>
      <c r="T20" s="404"/>
      <c r="U20" s="226"/>
      <c r="V20" s="226"/>
    </row>
    <row r="21" spans="1:22" ht="15.75" customHeight="1">
      <c r="A21" s="550"/>
      <c r="B21" s="553"/>
      <c r="C21" s="764"/>
      <c r="D21" s="756" t="s">
        <v>204</v>
      </c>
      <c r="E21" s="783"/>
      <c r="F21" s="725"/>
      <c r="G21" s="646"/>
      <c r="H21" s="231" t="s">
        <v>184</v>
      </c>
      <c r="I21" s="222">
        <f t="shared" si="4"/>
        <v>0</v>
      </c>
      <c r="J21" s="221"/>
      <c r="K21" s="221"/>
      <c r="L21" s="223"/>
      <c r="M21" s="222">
        <f t="shared" si="5"/>
        <v>0</v>
      </c>
      <c r="N21" s="221"/>
      <c r="O21" s="221"/>
      <c r="P21" s="223"/>
      <c r="Q21" s="414">
        <f t="shared" si="6"/>
        <v>0</v>
      </c>
      <c r="R21" s="460"/>
      <c r="S21" s="460"/>
      <c r="T21" s="461"/>
      <c r="U21" s="227"/>
      <c r="V21" s="227">
        <v>2500</v>
      </c>
    </row>
    <row r="22" spans="1:22" ht="15.75" customHeight="1">
      <c r="A22" s="550"/>
      <c r="B22" s="553"/>
      <c r="C22" s="764"/>
      <c r="D22" s="756"/>
      <c r="E22" s="783"/>
      <c r="F22" s="725"/>
      <c r="G22" s="646"/>
      <c r="H22" s="231" t="s">
        <v>18</v>
      </c>
      <c r="I22" s="222">
        <f t="shared" si="4"/>
        <v>0</v>
      </c>
      <c r="J22" s="221"/>
      <c r="K22" s="221"/>
      <c r="L22" s="223"/>
      <c r="M22" s="222">
        <f t="shared" si="5"/>
        <v>0</v>
      </c>
      <c r="N22" s="221"/>
      <c r="O22" s="221"/>
      <c r="P22" s="223"/>
      <c r="Q22" s="414">
        <f t="shared" si="6"/>
        <v>0</v>
      </c>
      <c r="R22" s="406"/>
      <c r="S22" s="406"/>
      <c r="T22" s="407"/>
      <c r="U22" s="227"/>
      <c r="V22" s="227"/>
    </row>
    <row r="23" spans="1:22" ht="15.75" customHeight="1">
      <c r="A23" s="550"/>
      <c r="B23" s="553"/>
      <c r="C23" s="764"/>
      <c r="D23" s="214" t="s">
        <v>202</v>
      </c>
      <c r="E23" s="762" t="s">
        <v>162</v>
      </c>
      <c r="F23" s="725"/>
      <c r="G23" s="646"/>
      <c r="H23" s="231" t="s">
        <v>53</v>
      </c>
      <c r="I23" s="222">
        <f t="shared" si="4"/>
        <v>1750</v>
      </c>
      <c r="J23" s="221"/>
      <c r="K23" s="221"/>
      <c r="L23" s="223">
        <f>1700+50</f>
        <v>1750</v>
      </c>
      <c r="M23" s="222">
        <f t="shared" si="5"/>
        <v>470</v>
      </c>
      <c r="N23" s="221"/>
      <c r="O23" s="221"/>
      <c r="P23" s="223">
        <f>100+20+350</f>
        <v>470</v>
      </c>
      <c r="Q23" s="536">
        <f t="shared" si="6"/>
        <v>477.1</v>
      </c>
      <c r="R23" s="519"/>
      <c r="S23" s="519"/>
      <c r="T23" s="520">
        <f>100+350+20-100+17.1-20+110</f>
        <v>477.1</v>
      </c>
      <c r="U23" s="227">
        <f>3376.8+50+562</f>
        <v>3988.8</v>
      </c>
      <c r="V23" s="227">
        <v>3151</v>
      </c>
    </row>
    <row r="24" spans="1:22" ht="15.75" customHeight="1">
      <c r="A24" s="550"/>
      <c r="B24" s="553"/>
      <c r="C24" s="764"/>
      <c r="D24" s="214" t="s">
        <v>203</v>
      </c>
      <c r="E24" s="762"/>
      <c r="F24" s="725"/>
      <c r="G24" s="646"/>
      <c r="H24" s="232" t="s">
        <v>110</v>
      </c>
      <c r="I24" s="222">
        <f t="shared" si="4"/>
        <v>0</v>
      </c>
      <c r="J24" s="221"/>
      <c r="K24" s="221"/>
      <c r="L24" s="223"/>
      <c r="M24" s="222">
        <f t="shared" si="5"/>
        <v>0</v>
      </c>
      <c r="N24" s="221"/>
      <c r="O24" s="221"/>
      <c r="P24" s="223"/>
      <c r="Q24" s="414">
        <f t="shared" si="6"/>
        <v>0</v>
      </c>
      <c r="R24" s="406"/>
      <c r="S24" s="406"/>
      <c r="T24" s="407"/>
      <c r="U24" s="227"/>
      <c r="V24" s="227"/>
    </row>
    <row r="25" spans="1:22" ht="29.25" customHeight="1">
      <c r="A25" s="550"/>
      <c r="B25" s="553"/>
      <c r="C25" s="764"/>
      <c r="D25" s="214" t="s">
        <v>221</v>
      </c>
      <c r="E25" s="762"/>
      <c r="F25" s="725"/>
      <c r="G25" s="646"/>
      <c r="H25" s="232" t="s">
        <v>25</v>
      </c>
      <c r="I25" s="222">
        <f t="shared" si="4"/>
        <v>0</v>
      </c>
      <c r="J25" s="219"/>
      <c r="K25" s="219"/>
      <c r="L25" s="220"/>
      <c r="M25" s="222">
        <f t="shared" si="5"/>
        <v>0</v>
      </c>
      <c r="N25" s="219"/>
      <c r="O25" s="219"/>
      <c r="P25" s="220"/>
      <c r="Q25" s="414">
        <f t="shared" si="6"/>
        <v>0</v>
      </c>
      <c r="R25" s="406"/>
      <c r="S25" s="406"/>
      <c r="T25" s="407"/>
      <c r="U25" s="228"/>
      <c r="V25" s="228"/>
    </row>
    <row r="26" spans="1:22" ht="15.75" customHeight="1">
      <c r="A26" s="550"/>
      <c r="B26" s="553"/>
      <c r="C26" s="764"/>
      <c r="D26" s="214" t="s">
        <v>183</v>
      </c>
      <c r="E26" s="762"/>
      <c r="F26" s="725"/>
      <c r="G26" s="646"/>
      <c r="H26" s="231" t="s">
        <v>30</v>
      </c>
      <c r="I26" s="222">
        <f t="shared" si="4"/>
        <v>0</v>
      </c>
      <c r="J26" s="221"/>
      <c r="K26" s="221"/>
      <c r="L26" s="223"/>
      <c r="M26" s="222">
        <f t="shared" si="5"/>
        <v>0</v>
      </c>
      <c r="N26" s="221"/>
      <c r="O26" s="221"/>
      <c r="P26" s="223"/>
      <c r="Q26" s="414">
        <f t="shared" si="6"/>
        <v>0</v>
      </c>
      <c r="R26" s="443"/>
      <c r="S26" s="443"/>
      <c r="T26" s="458"/>
      <c r="U26" s="227">
        <v>870</v>
      </c>
      <c r="V26" s="227">
        <v>910</v>
      </c>
    </row>
    <row r="27" spans="1:22" ht="16.5" customHeight="1" thickBot="1">
      <c r="A27" s="551"/>
      <c r="B27" s="554"/>
      <c r="C27" s="765"/>
      <c r="D27" s="535" t="s">
        <v>239</v>
      </c>
      <c r="E27" s="478"/>
      <c r="F27" s="726"/>
      <c r="G27" s="649"/>
      <c r="H27" s="469" t="s">
        <v>20</v>
      </c>
      <c r="I27" s="357">
        <f t="shared" ref="I27:V27" si="7">SUM(I20:I26)</f>
        <v>1750</v>
      </c>
      <c r="J27" s="359">
        <f t="shared" si="7"/>
        <v>0</v>
      </c>
      <c r="K27" s="359">
        <f t="shared" si="7"/>
        <v>0</v>
      </c>
      <c r="L27" s="468">
        <f t="shared" si="7"/>
        <v>1750</v>
      </c>
      <c r="M27" s="357">
        <f t="shared" si="7"/>
        <v>470</v>
      </c>
      <c r="N27" s="359">
        <f t="shared" si="7"/>
        <v>0</v>
      </c>
      <c r="O27" s="359">
        <f t="shared" si="7"/>
        <v>0</v>
      </c>
      <c r="P27" s="468">
        <f t="shared" si="7"/>
        <v>470</v>
      </c>
      <c r="Q27" s="357">
        <f t="shared" si="7"/>
        <v>477.1</v>
      </c>
      <c r="R27" s="359">
        <f t="shared" si="7"/>
        <v>0</v>
      </c>
      <c r="S27" s="359">
        <f t="shared" si="7"/>
        <v>0</v>
      </c>
      <c r="T27" s="468">
        <f t="shared" si="7"/>
        <v>477.1</v>
      </c>
      <c r="U27" s="463">
        <f t="shared" si="7"/>
        <v>4858.8</v>
      </c>
      <c r="V27" s="466">
        <f t="shared" si="7"/>
        <v>6561</v>
      </c>
    </row>
    <row r="28" spans="1:22" ht="15" customHeight="1">
      <c r="A28" s="549" t="s">
        <v>8</v>
      </c>
      <c r="B28" s="552" t="s">
        <v>8</v>
      </c>
      <c r="C28" s="555" t="s">
        <v>10</v>
      </c>
      <c r="D28" s="229" t="s">
        <v>205</v>
      </c>
      <c r="E28" s="721" t="s">
        <v>22</v>
      </c>
      <c r="F28" s="724" t="s">
        <v>12</v>
      </c>
      <c r="G28" s="645" t="s">
        <v>144</v>
      </c>
      <c r="H28" s="261" t="s">
        <v>11</v>
      </c>
      <c r="I28" s="113">
        <f t="shared" ref="I28:I50" si="8">J28+L28</f>
        <v>0</v>
      </c>
      <c r="J28" s="114"/>
      <c r="K28" s="114"/>
      <c r="L28" s="115"/>
      <c r="M28" s="148">
        <f t="shared" ref="M28:M34" si="9">N28+P28</f>
        <v>0</v>
      </c>
      <c r="N28" s="224"/>
      <c r="O28" s="224"/>
      <c r="P28" s="225"/>
      <c r="Q28" s="411">
        <f t="shared" ref="Q28:Q34" si="10">R28+T28</f>
        <v>0</v>
      </c>
      <c r="R28" s="403"/>
      <c r="S28" s="403"/>
      <c r="T28" s="404"/>
      <c r="U28" s="226"/>
      <c r="V28" s="226"/>
    </row>
    <row r="29" spans="1:22" ht="14.25" customHeight="1">
      <c r="A29" s="550"/>
      <c r="B29" s="553"/>
      <c r="C29" s="556"/>
      <c r="D29" s="18" t="s">
        <v>206</v>
      </c>
      <c r="E29" s="722"/>
      <c r="F29" s="725"/>
      <c r="G29" s="646"/>
      <c r="H29" s="231" t="s">
        <v>184</v>
      </c>
      <c r="I29" s="222">
        <f t="shared" si="8"/>
        <v>0</v>
      </c>
      <c r="J29" s="221"/>
      <c r="K29" s="221"/>
      <c r="L29" s="223"/>
      <c r="M29" s="259">
        <f t="shared" si="9"/>
        <v>100</v>
      </c>
      <c r="N29" s="221"/>
      <c r="O29" s="221"/>
      <c r="P29" s="223">
        <v>100</v>
      </c>
      <c r="Q29" s="414">
        <f t="shared" si="10"/>
        <v>0</v>
      </c>
      <c r="R29" s="460"/>
      <c r="S29" s="460"/>
      <c r="T29" s="461"/>
      <c r="U29" s="227">
        <v>300</v>
      </c>
      <c r="V29" s="227"/>
    </row>
    <row r="30" spans="1:22" ht="27" customHeight="1">
      <c r="A30" s="550"/>
      <c r="B30" s="553"/>
      <c r="C30" s="556"/>
      <c r="D30" s="216" t="s">
        <v>207</v>
      </c>
      <c r="E30" s="722"/>
      <c r="F30" s="725"/>
      <c r="G30" s="646"/>
      <c r="H30" s="262" t="s">
        <v>18</v>
      </c>
      <c r="I30" s="222">
        <f t="shared" si="8"/>
        <v>0</v>
      </c>
      <c r="J30" s="221"/>
      <c r="K30" s="221"/>
      <c r="L30" s="223"/>
      <c r="M30" s="259">
        <f t="shared" si="9"/>
        <v>0</v>
      </c>
      <c r="N30" s="221"/>
      <c r="O30" s="221"/>
      <c r="P30" s="223"/>
      <c r="Q30" s="414">
        <f t="shared" si="10"/>
        <v>0</v>
      </c>
      <c r="R30" s="406"/>
      <c r="S30" s="406"/>
      <c r="T30" s="407"/>
      <c r="U30" s="227"/>
      <c r="V30" s="227"/>
    </row>
    <row r="31" spans="1:22" ht="15" customHeight="1">
      <c r="A31" s="550"/>
      <c r="B31" s="553"/>
      <c r="C31" s="556"/>
      <c r="D31" s="217" t="s">
        <v>208</v>
      </c>
      <c r="E31" s="722"/>
      <c r="F31" s="725"/>
      <c r="G31" s="646"/>
      <c r="H31" s="262" t="s">
        <v>53</v>
      </c>
      <c r="I31" s="222">
        <f t="shared" si="8"/>
        <v>10030</v>
      </c>
      <c r="J31" s="221"/>
      <c r="K31" s="221"/>
      <c r="L31" s="223">
        <f>10000+30</f>
        <v>10030</v>
      </c>
      <c r="M31" s="259">
        <f t="shared" si="9"/>
        <v>3963</v>
      </c>
      <c r="N31" s="221"/>
      <c r="O31" s="221"/>
      <c r="P31" s="223">
        <v>3963</v>
      </c>
      <c r="Q31" s="536">
        <f t="shared" si="10"/>
        <v>4514.1000000000004</v>
      </c>
      <c r="R31" s="537"/>
      <c r="S31" s="537"/>
      <c r="T31" s="538">
        <f>3963-1263+963+129.5+25.6+667+29</f>
        <v>4514.1000000000004</v>
      </c>
      <c r="U31" s="227">
        <f>4000+100+100</f>
        <v>4200</v>
      </c>
      <c r="V31" s="227">
        <f>1995+200+482+361</f>
        <v>3038</v>
      </c>
    </row>
    <row r="32" spans="1:22" ht="27" customHeight="1">
      <c r="A32" s="550"/>
      <c r="B32" s="553"/>
      <c r="C32" s="556"/>
      <c r="D32" s="217" t="s">
        <v>209</v>
      </c>
      <c r="E32" s="722"/>
      <c r="F32" s="725"/>
      <c r="G32" s="646"/>
      <c r="H32" s="263" t="s">
        <v>110</v>
      </c>
      <c r="I32" s="222">
        <f t="shared" si="8"/>
        <v>0</v>
      </c>
      <c r="J32" s="219"/>
      <c r="K32" s="219"/>
      <c r="L32" s="220"/>
      <c r="M32" s="259">
        <f t="shared" si="9"/>
        <v>0</v>
      </c>
      <c r="N32" s="219"/>
      <c r="O32" s="219"/>
      <c r="P32" s="220"/>
      <c r="Q32" s="414">
        <f t="shared" si="10"/>
        <v>0</v>
      </c>
      <c r="R32" s="443"/>
      <c r="S32" s="443"/>
      <c r="T32" s="444"/>
      <c r="U32" s="228"/>
      <c r="V32" s="228"/>
    </row>
    <row r="33" spans="1:22" ht="27.75" customHeight="1">
      <c r="A33" s="550"/>
      <c r="B33" s="553"/>
      <c r="C33" s="556"/>
      <c r="D33" s="217" t="s">
        <v>210</v>
      </c>
      <c r="E33" s="722"/>
      <c r="F33" s="725"/>
      <c r="G33" s="646"/>
      <c r="H33" s="263" t="s">
        <v>25</v>
      </c>
      <c r="I33" s="222">
        <f t="shared" si="8"/>
        <v>0</v>
      </c>
      <c r="J33" s="219"/>
      <c r="K33" s="219"/>
      <c r="L33" s="220"/>
      <c r="M33" s="259">
        <f t="shared" si="9"/>
        <v>7000</v>
      </c>
      <c r="N33" s="219"/>
      <c r="O33" s="219"/>
      <c r="P33" s="220">
        <v>7000</v>
      </c>
      <c r="Q33" s="414">
        <f t="shared" si="10"/>
        <v>7000</v>
      </c>
      <c r="R33" s="443"/>
      <c r="S33" s="443"/>
      <c r="T33" s="444">
        <v>7000</v>
      </c>
      <c r="U33" s="228"/>
      <c r="V33" s="228"/>
    </row>
    <row r="34" spans="1:22" ht="15" customHeight="1">
      <c r="A34" s="550"/>
      <c r="B34" s="553"/>
      <c r="C34" s="556"/>
      <c r="D34" s="770" t="s">
        <v>149</v>
      </c>
      <c r="E34" s="722"/>
      <c r="F34" s="725"/>
      <c r="G34" s="646"/>
      <c r="H34" s="263" t="s">
        <v>30</v>
      </c>
      <c r="I34" s="258">
        <f t="shared" si="8"/>
        <v>0</v>
      </c>
      <c r="J34" s="219"/>
      <c r="K34" s="219"/>
      <c r="L34" s="220"/>
      <c r="M34" s="259">
        <f t="shared" si="9"/>
        <v>0</v>
      </c>
      <c r="N34" s="221"/>
      <c r="O34" s="221"/>
      <c r="P34" s="223"/>
      <c r="Q34" s="414">
        <f t="shared" si="10"/>
        <v>0</v>
      </c>
      <c r="R34" s="443"/>
      <c r="S34" s="443"/>
      <c r="T34" s="444"/>
      <c r="U34" s="227">
        <v>2837.3</v>
      </c>
      <c r="V34" s="227">
        <f>110+6000</f>
        <v>6110</v>
      </c>
    </row>
    <row r="35" spans="1:22" ht="15" customHeight="1" thickBot="1">
      <c r="A35" s="551"/>
      <c r="B35" s="554"/>
      <c r="C35" s="557"/>
      <c r="D35" s="771"/>
      <c r="E35" s="731"/>
      <c r="F35" s="761"/>
      <c r="G35" s="647"/>
      <c r="H35" s="467" t="s">
        <v>20</v>
      </c>
      <c r="I35" s="357">
        <f t="shared" ref="I35:V35" si="11">SUM(I28:I34)</f>
        <v>10030</v>
      </c>
      <c r="J35" s="359">
        <f t="shared" si="11"/>
        <v>0</v>
      </c>
      <c r="K35" s="359">
        <f t="shared" si="11"/>
        <v>0</v>
      </c>
      <c r="L35" s="360">
        <f t="shared" si="11"/>
        <v>10030</v>
      </c>
      <c r="M35" s="468">
        <f t="shared" si="11"/>
        <v>11063</v>
      </c>
      <c r="N35" s="464">
        <f t="shared" si="11"/>
        <v>0</v>
      </c>
      <c r="O35" s="464">
        <f t="shared" si="11"/>
        <v>0</v>
      </c>
      <c r="P35" s="465">
        <f t="shared" si="11"/>
        <v>11063</v>
      </c>
      <c r="Q35" s="463">
        <f t="shared" si="11"/>
        <v>11514.1</v>
      </c>
      <c r="R35" s="464">
        <f t="shared" si="11"/>
        <v>0</v>
      </c>
      <c r="S35" s="464">
        <f t="shared" si="11"/>
        <v>0</v>
      </c>
      <c r="T35" s="465">
        <f t="shared" si="11"/>
        <v>11514.1</v>
      </c>
      <c r="U35" s="466">
        <f t="shared" si="11"/>
        <v>7337.3</v>
      </c>
      <c r="V35" s="466">
        <f t="shared" si="11"/>
        <v>9148</v>
      </c>
    </row>
    <row r="36" spans="1:22" ht="15.75" customHeight="1">
      <c r="A36" s="549" t="s">
        <v>8</v>
      </c>
      <c r="B36" s="552" t="s">
        <v>8</v>
      </c>
      <c r="C36" s="555" t="s">
        <v>12</v>
      </c>
      <c r="D36" s="215" t="s">
        <v>161</v>
      </c>
      <c r="E36" s="760" t="s">
        <v>22</v>
      </c>
      <c r="F36" s="755" t="s">
        <v>12</v>
      </c>
      <c r="G36" s="648" t="s">
        <v>144</v>
      </c>
      <c r="H36" s="260" t="s">
        <v>11</v>
      </c>
      <c r="I36" s="137">
        <f t="shared" si="8"/>
        <v>0</v>
      </c>
      <c r="J36" s="128"/>
      <c r="K36" s="128"/>
      <c r="L36" s="129"/>
      <c r="M36" s="113">
        <f t="shared" ref="M36:M42" si="12">N36+P36</f>
        <v>0</v>
      </c>
      <c r="N36" s="224"/>
      <c r="O36" s="224"/>
      <c r="P36" s="225"/>
      <c r="Q36" s="411">
        <f t="shared" ref="Q36:Q42" si="13">R36+T36</f>
        <v>0</v>
      </c>
      <c r="R36" s="403"/>
      <c r="S36" s="403"/>
      <c r="T36" s="404"/>
      <c r="U36" s="226"/>
      <c r="V36" s="226"/>
    </row>
    <row r="37" spans="1:22" ht="15.75" customHeight="1">
      <c r="A37" s="550"/>
      <c r="B37" s="553"/>
      <c r="C37" s="556"/>
      <c r="D37" s="216" t="s">
        <v>104</v>
      </c>
      <c r="E37" s="722"/>
      <c r="F37" s="725"/>
      <c r="G37" s="646"/>
      <c r="H37" s="231" t="s">
        <v>184</v>
      </c>
      <c r="I37" s="222">
        <f t="shared" si="8"/>
        <v>0</v>
      </c>
      <c r="J37" s="221"/>
      <c r="K37" s="221"/>
      <c r="L37" s="223"/>
      <c r="M37" s="222">
        <f t="shared" si="12"/>
        <v>0</v>
      </c>
      <c r="N37" s="221"/>
      <c r="O37" s="221"/>
      <c r="P37" s="223"/>
      <c r="Q37" s="414">
        <f t="shared" si="13"/>
        <v>0</v>
      </c>
      <c r="R37" s="460"/>
      <c r="S37" s="460"/>
      <c r="T37" s="461"/>
      <c r="U37" s="227"/>
      <c r="V37" s="227"/>
    </row>
    <row r="38" spans="1:22" ht="15.75" customHeight="1">
      <c r="A38" s="550"/>
      <c r="B38" s="553"/>
      <c r="C38" s="556"/>
      <c r="D38" s="217" t="s">
        <v>211</v>
      </c>
      <c r="E38" s="722"/>
      <c r="F38" s="725"/>
      <c r="G38" s="646"/>
      <c r="H38" s="231" t="s">
        <v>18</v>
      </c>
      <c r="I38" s="222">
        <f t="shared" si="8"/>
        <v>0</v>
      </c>
      <c r="J38" s="221"/>
      <c r="K38" s="221"/>
      <c r="L38" s="223"/>
      <c r="M38" s="222">
        <f t="shared" si="12"/>
        <v>0</v>
      </c>
      <c r="N38" s="221"/>
      <c r="O38" s="221"/>
      <c r="P38" s="223"/>
      <c r="Q38" s="414">
        <f t="shared" si="13"/>
        <v>0</v>
      </c>
      <c r="R38" s="406"/>
      <c r="S38" s="406"/>
      <c r="T38" s="407"/>
      <c r="U38" s="227"/>
      <c r="V38" s="227"/>
    </row>
    <row r="39" spans="1:22" ht="15.75" customHeight="1">
      <c r="A39" s="550"/>
      <c r="B39" s="553"/>
      <c r="C39" s="556"/>
      <c r="D39" s="217"/>
      <c r="E39" s="722"/>
      <c r="F39" s="725"/>
      <c r="G39" s="646"/>
      <c r="H39" s="231" t="s">
        <v>53</v>
      </c>
      <c r="I39" s="222">
        <f t="shared" si="8"/>
        <v>50</v>
      </c>
      <c r="J39" s="221"/>
      <c r="K39" s="221"/>
      <c r="L39" s="223">
        <v>50</v>
      </c>
      <c r="M39" s="222">
        <f t="shared" si="12"/>
        <v>0</v>
      </c>
      <c r="N39" s="221"/>
      <c r="O39" s="221"/>
      <c r="P39" s="223"/>
      <c r="Q39" s="414">
        <f t="shared" si="13"/>
        <v>0</v>
      </c>
      <c r="R39" s="406"/>
      <c r="S39" s="406"/>
      <c r="T39" s="407"/>
      <c r="U39" s="227">
        <f>400+300</f>
        <v>700</v>
      </c>
      <c r="V39" s="227">
        <f>286+156</f>
        <v>442</v>
      </c>
    </row>
    <row r="40" spans="1:22" ht="15.75" customHeight="1">
      <c r="A40" s="550"/>
      <c r="B40" s="553"/>
      <c r="C40" s="556"/>
      <c r="D40" s="217"/>
      <c r="E40" s="722"/>
      <c r="F40" s="725"/>
      <c r="G40" s="646"/>
      <c r="H40" s="232" t="s">
        <v>110</v>
      </c>
      <c r="I40" s="222">
        <f t="shared" si="8"/>
        <v>0</v>
      </c>
      <c r="J40" s="219"/>
      <c r="K40" s="219"/>
      <c r="L40" s="220"/>
      <c r="M40" s="222">
        <f t="shared" si="12"/>
        <v>0</v>
      </c>
      <c r="N40" s="219"/>
      <c r="O40" s="219"/>
      <c r="P40" s="220"/>
      <c r="Q40" s="414">
        <f t="shared" si="13"/>
        <v>0</v>
      </c>
      <c r="R40" s="406"/>
      <c r="S40" s="406"/>
      <c r="T40" s="407"/>
      <c r="U40" s="228"/>
      <c r="V40" s="228"/>
    </row>
    <row r="41" spans="1:22" ht="15.75" customHeight="1">
      <c r="A41" s="550"/>
      <c r="B41" s="553"/>
      <c r="C41" s="556"/>
      <c r="D41" s="217"/>
      <c r="E41" s="722"/>
      <c r="F41" s="725"/>
      <c r="G41" s="646"/>
      <c r="H41" s="232" t="s">
        <v>25</v>
      </c>
      <c r="I41" s="222">
        <f t="shared" si="8"/>
        <v>0</v>
      </c>
      <c r="J41" s="219"/>
      <c r="K41" s="219"/>
      <c r="L41" s="220"/>
      <c r="M41" s="222">
        <f t="shared" si="12"/>
        <v>0</v>
      </c>
      <c r="N41" s="219"/>
      <c r="O41" s="219"/>
      <c r="P41" s="220"/>
      <c r="Q41" s="414">
        <f t="shared" si="13"/>
        <v>0</v>
      </c>
      <c r="R41" s="406"/>
      <c r="S41" s="406"/>
      <c r="T41" s="407"/>
      <c r="U41" s="228"/>
      <c r="V41" s="228"/>
    </row>
    <row r="42" spans="1:22" ht="15.75" customHeight="1">
      <c r="A42" s="550"/>
      <c r="B42" s="553"/>
      <c r="C42" s="556"/>
      <c r="D42" s="217"/>
      <c r="E42" s="722"/>
      <c r="F42" s="725"/>
      <c r="G42" s="646"/>
      <c r="H42" s="232" t="s">
        <v>30</v>
      </c>
      <c r="I42" s="222">
        <f t="shared" si="8"/>
        <v>0</v>
      </c>
      <c r="J42" s="221"/>
      <c r="K42" s="221"/>
      <c r="L42" s="223"/>
      <c r="M42" s="222">
        <f t="shared" si="12"/>
        <v>0</v>
      </c>
      <c r="N42" s="221"/>
      <c r="O42" s="221"/>
      <c r="P42" s="223"/>
      <c r="Q42" s="414">
        <f t="shared" si="13"/>
        <v>0</v>
      </c>
      <c r="R42" s="443"/>
      <c r="S42" s="443"/>
      <c r="T42" s="444"/>
      <c r="U42" s="227"/>
      <c r="V42" s="227"/>
    </row>
    <row r="43" spans="1:22" ht="15.75" customHeight="1" thickBot="1">
      <c r="A43" s="551"/>
      <c r="B43" s="554"/>
      <c r="C43" s="557"/>
      <c r="D43" s="254"/>
      <c r="E43" s="731"/>
      <c r="F43" s="761"/>
      <c r="G43" s="647"/>
      <c r="H43" s="462" t="s">
        <v>20</v>
      </c>
      <c r="I43" s="463">
        <f t="shared" ref="I43:V43" si="14">SUM(I36:I42)</f>
        <v>50</v>
      </c>
      <c r="J43" s="464">
        <f t="shared" si="14"/>
        <v>0</v>
      </c>
      <c r="K43" s="464">
        <f t="shared" si="14"/>
        <v>0</v>
      </c>
      <c r="L43" s="465">
        <f t="shared" si="14"/>
        <v>50</v>
      </c>
      <c r="M43" s="463">
        <f t="shared" si="14"/>
        <v>0</v>
      </c>
      <c r="N43" s="464">
        <f t="shared" si="14"/>
        <v>0</v>
      </c>
      <c r="O43" s="464">
        <f t="shared" si="14"/>
        <v>0</v>
      </c>
      <c r="P43" s="465">
        <f t="shared" si="14"/>
        <v>0</v>
      </c>
      <c r="Q43" s="463">
        <f t="shared" si="14"/>
        <v>0</v>
      </c>
      <c r="R43" s="464">
        <f t="shared" si="14"/>
        <v>0</v>
      </c>
      <c r="S43" s="464">
        <f t="shared" si="14"/>
        <v>0</v>
      </c>
      <c r="T43" s="465">
        <f t="shared" si="14"/>
        <v>0</v>
      </c>
      <c r="U43" s="466">
        <f t="shared" si="14"/>
        <v>700</v>
      </c>
      <c r="V43" s="466">
        <f t="shared" si="14"/>
        <v>442</v>
      </c>
    </row>
    <row r="44" spans="1:22" ht="15.75" customHeight="1">
      <c r="A44" s="549" t="s">
        <v>8</v>
      </c>
      <c r="B44" s="552" t="s">
        <v>8</v>
      </c>
      <c r="C44" s="555" t="s">
        <v>38</v>
      </c>
      <c r="D44" s="215" t="s">
        <v>163</v>
      </c>
      <c r="E44" s="760" t="s">
        <v>22</v>
      </c>
      <c r="F44" s="755" t="s">
        <v>12</v>
      </c>
      <c r="G44" s="648" t="s">
        <v>144</v>
      </c>
      <c r="H44" s="230" t="s">
        <v>11</v>
      </c>
      <c r="I44" s="113">
        <f t="shared" si="8"/>
        <v>0</v>
      </c>
      <c r="J44" s="114"/>
      <c r="K44" s="114"/>
      <c r="L44" s="115"/>
      <c r="M44" s="113">
        <f t="shared" ref="M44:M50" si="15">N44+P44</f>
        <v>0</v>
      </c>
      <c r="N44" s="224"/>
      <c r="O44" s="224"/>
      <c r="P44" s="225"/>
      <c r="Q44" s="411">
        <f t="shared" ref="Q44:Q50" si="16">R44+T44</f>
        <v>0</v>
      </c>
      <c r="R44" s="403"/>
      <c r="S44" s="403"/>
      <c r="T44" s="404"/>
      <c r="U44" s="226"/>
      <c r="V44" s="226"/>
    </row>
    <row r="45" spans="1:22" ht="15.75" customHeight="1">
      <c r="A45" s="550"/>
      <c r="B45" s="553"/>
      <c r="C45" s="556"/>
      <c r="D45" s="216" t="s">
        <v>238</v>
      </c>
      <c r="E45" s="722"/>
      <c r="F45" s="725"/>
      <c r="G45" s="646"/>
      <c r="H45" s="231" t="s">
        <v>184</v>
      </c>
      <c r="I45" s="222">
        <f t="shared" si="8"/>
        <v>0</v>
      </c>
      <c r="J45" s="221"/>
      <c r="K45" s="221"/>
      <c r="L45" s="223"/>
      <c r="M45" s="222">
        <f t="shared" si="15"/>
        <v>0</v>
      </c>
      <c r="N45" s="221"/>
      <c r="O45" s="221"/>
      <c r="P45" s="223"/>
      <c r="Q45" s="414">
        <f t="shared" si="16"/>
        <v>0</v>
      </c>
      <c r="R45" s="460"/>
      <c r="S45" s="460"/>
      <c r="T45" s="461"/>
      <c r="U45" s="227"/>
      <c r="V45" s="227"/>
    </row>
    <row r="46" spans="1:22" ht="15.75" customHeight="1">
      <c r="A46" s="550"/>
      <c r="B46" s="553"/>
      <c r="C46" s="556"/>
      <c r="D46" s="217"/>
      <c r="E46" s="722"/>
      <c r="F46" s="725"/>
      <c r="G46" s="646"/>
      <c r="H46" s="231" t="s">
        <v>18</v>
      </c>
      <c r="I46" s="222">
        <f t="shared" si="8"/>
        <v>0</v>
      </c>
      <c r="J46" s="221"/>
      <c r="K46" s="221"/>
      <c r="L46" s="223"/>
      <c r="M46" s="222">
        <f t="shared" si="15"/>
        <v>0</v>
      </c>
      <c r="N46" s="221"/>
      <c r="O46" s="221"/>
      <c r="P46" s="223"/>
      <c r="Q46" s="414">
        <f t="shared" si="16"/>
        <v>0</v>
      </c>
      <c r="R46" s="406"/>
      <c r="S46" s="406"/>
      <c r="T46" s="407"/>
      <c r="U46" s="227"/>
      <c r="V46" s="227"/>
    </row>
    <row r="47" spans="1:22" ht="15.75" customHeight="1">
      <c r="A47" s="550"/>
      <c r="B47" s="553"/>
      <c r="C47" s="556"/>
      <c r="D47" s="217"/>
      <c r="E47" s="722"/>
      <c r="F47" s="725"/>
      <c r="G47" s="646"/>
      <c r="H47" s="231" t="s">
        <v>53</v>
      </c>
      <c r="I47" s="222">
        <f t="shared" si="8"/>
        <v>250</v>
      </c>
      <c r="J47" s="234"/>
      <c r="K47" s="234"/>
      <c r="L47" s="235">
        <v>250</v>
      </c>
      <c r="M47" s="222">
        <f t="shared" si="15"/>
        <v>370.4</v>
      </c>
      <c r="N47" s="234"/>
      <c r="O47" s="234"/>
      <c r="P47" s="235">
        <v>370.4</v>
      </c>
      <c r="Q47" s="414">
        <f t="shared" si="16"/>
        <v>370.4</v>
      </c>
      <c r="R47" s="443"/>
      <c r="S47" s="443"/>
      <c r="T47" s="444">
        <v>370.4</v>
      </c>
      <c r="U47" s="236">
        <v>4000</v>
      </c>
      <c r="V47" s="236">
        <v>2000</v>
      </c>
    </row>
    <row r="48" spans="1:22" ht="15.75" customHeight="1">
      <c r="A48" s="550"/>
      <c r="B48" s="553"/>
      <c r="C48" s="556"/>
      <c r="D48" s="217"/>
      <c r="E48" s="722"/>
      <c r="F48" s="725"/>
      <c r="G48" s="646"/>
      <c r="H48" s="232" t="s">
        <v>110</v>
      </c>
      <c r="I48" s="222">
        <f t="shared" si="8"/>
        <v>0</v>
      </c>
      <c r="J48" s="221"/>
      <c r="K48" s="221"/>
      <c r="L48" s="223"/>
      <c r="M48" s="222">
        <f t="shared" si="15"/>
        <v>0</v>
      </c>
      <c r="N48" s="221"/>
      <c r="O48" s="221"/>
      <c r="P48" s="223"/>
      <c r="Q48" s="414">
        <f t="shared" si="16"/>
        <v>0</v>
      </c>
      <c r="R48" s="406"/>
      <c r="S48" s="406"/>
      <c r="T48" s="455"/>
      <c r="U48" s="227"/>
      <c r="V48" s="227"/>
    </row>
    <row r="49" spans="1:22" ht="15.75" customHeight="1">
      <c r="A49" s="550"/>
      <c r="B49" s="553"/>
      <c r="C49" s="556"/>
      <c r="D49" s="217"/>
      <c r="E49" s="722"/>
      <c r="F49" s="725"/>
      <c r="G49" s="646"/>
      <c r="H49" s="232" t="s">
        <v>25</v>
      </c>
      <c r="I49" s="222">
        <f t="shared" si="8"/>
        <v>0</v>
      </c>
      <c r="J49" s="221"/>
      <c r="K49" s="221"/>
      <c r="L49" s="223"/>
      <c r="M49" s="222">
        <f t="shared" si="15"/>
        <v>0</v>
      </c>
      <c r="N49" s="221"/>
      <c r="O49" s="221"/>
      <c r="P49" s="223"/>
      <c r="Q49" s="414">
        <f t="shared" si="16"/>
        <v>0</v>
      </c>
      <c r="R49" s="406"/>
      <c r="S49" s="406"/>
      <c r="T49" s="455"/>
      <c r="U49" s="227"/>
      <c r="V49" s="227"/>
    </row>
    <row r="50" spans="1:22" ht="15.75" customHeight="1">
      <c r="A50" s="550"/>
      <c r="B50" s="553"/>
      <c r="C50" s="556"/>
      <c r="D50" s="217"/>
      <c r="E50" s="722"/>
      <c r="F50" s="725"/>
      <c r="G50" s="646"/>
      <c r="H50" s="232" t="s">
        <v>30</v>
      </c>
      <c r="I50" s="222">
        <f t="shared" si="8"/>
        <v>0</v>
      </c>
      <c r="J50" s="221"/>
      <c r="K50" s="221"/>
      <c r="L50" s="223"/>
      <c r="M50" s="222">
        <f t="shared" si="15"/>
        <v>0</v>
      </c>
      <c r="N50" s="221"/>
      <c r="O50" s="221"/>
      <c r="P50" s="223"/>
      <c r="Q50" s="414">
        <f t="shared" si="16"/>
        <v>0</v>
      </c>
      <c r="R50" s="406"/>
      <c r="S50" s="406"/>
      <c r="T50" s="455"/>
      <c r="U50" s="227"/>
      <c r="V50" s="227"/>
    </row>
    <row r="51" spans="1:22" ht="15.75" customHeight="1" thickBot="1">
      <c r="A51" s="551"/>
      <c r="B51" s="554"/>
      <c r="C51" s="557"/>
      <c r="D51" s="254"/>
      <c r="E51" s="723"/>
      <c r="F51" s="726"/>
      <c r="G51" s="649"/>
      <c r="H51" s="462" t="s">
        <v>20</v>
      </c>
      <c r="I51" s="463">
        <f t="shared" ref="I51:V51" si="17">SUM(I44:I50)</f>
        <v>250</v>
      </c>
      <c r="J51" s="464">
        <f t="shared" si="17"/>
        <v>0</v>
      </c>
      <c r="K51" s="464">
        <f t="shared" si="17"/>
        <v>0</v>
      </c>
      <c r="L51" s="465">
        <f t="shared" si="17"/>
        <v>250</v>
      </c>
      <c r="M51" s="463">
        <f t="shared" si="17"/>
        <v>370.4</v>
      </c>
      <c r="N51" s="464">
        <f t="shared" si="17"/>
        <v>0</v>
      </c>
      <c r="O51" s="464">
        <f t="shared" si="17"/>
        <v>0</v>
      </c>
      <c r="P51" s="465">
        <f t="shared" si="17"/>
        <v>370.4</v>
      </c>
      <c r="Q51" s="463">
        <f t="shared" si="17"/>
        <v>370.4</v>
      </c>
      <c r="R51" s="464">
        <f t="shared" si="17"/>
        <v>0</v>
      </c>
      <c r="S51" s="464">
        <f t="shared" si="17"/>
        <v>0</v>
      </c>
      <c r="T51" s="465">
        <f t="shared" si="17"/>
        <v>370.4</v>
      </c>
      <c r="U51" s="466">
        <f t="shared" si="17"/>
        <v>4000</v>
      </c>
      <c r="V51" s="466">
        <f t="shared" si="17"/>
        <v>2000</v>
      </c>
    </row>
    <row r="52" spans="1:22" ht="15.75" customHeight="1">
      <c r="A52" s="549" t="s">
        <v>8</v>
      </c>
      <c r="B52" s="552" t="s">
        <v>8</v>
      </c>
      <c r="C52" s="555" t="s">
        <v>13</v>
      </c>
      <c r="D52" s="757" t="s">
        <v>26</v>
      </c>
      <c r="E52" s="479" t="s">
        <v>22</v>
      </c>
      <c r="F52" s="724" t="s">
        <v>12</v>
      </c>
      <c r="G52" s="701" t="s">
        <v>144</v>
      </c>
      <c r="H52" s="108" t="s">
        <v>11</v>
      </c>
      <c r="I52" s="119">
        <f>J52+L52</f>
        <v>0</v>
      </c>
      <c r="J52" s="120"/>
      <c r="K52" s="120"/>
      <c r="L52" s="121"/>
      <c r="M52" s="119">
        <f>N52+P52</f>
        <v>0</v>
      </c>
      <c r="N52" s="133"/>
      <c r="O52" s="133"/>
      <c r="P52" s="138"/>
      <c r="Q52" s="414">
        <f>R52+T52</f>
        <v>0</v>
      </c>
      <c r="R52" s="403"/>
      <c r="S52" s="403"/>
      <c r="T52" s="404"/>
      <c r="U52" s="139"/>
      <c r="V52" s="139"/>
    </row>
    <row r="53" spans="1:22" ht="15.75" customHeight="1">
      <c r="A53" s="550"/>
      <c r="B53" s="553"/>
      <c r="C53" s="556"/>
      <c r="D53" s="758"/>
      <c r="E53" s="728" t="s">
        <v>141</v>
      </c>
      <c r="F53" s="725"/>
      <c r="G53" s="702"/>
      <c r="H53" s="231" t="s">
        <v>184</v>
      </c>
      <c r="I53" s="119">
        <f>J53+L53</f>
        <v>0</v>
      </c>
      <c r="J53" s="120"/>
      <c r="K53" s="120"/>
      <c r="L53" s="121"/>
      <c r="M53" s="119">
        <f>N53+P53</f>
        <v>451.4</v>
      </c>
      <c r="N53" s="133"/>
      <c r="O53" s="133"/>
      <c r="P53" s="138">
        <v>451.4</v>
      </c>
      <c r="Q53" s="414">
        <f>R53+T53</f>
        <v>451.4</v>
      </c>
      <c r="R53" s="443"/>
      <c r="S53" s="443"/>
      <c r="T53" s="444">
        <v>451.4</v>
      </c>
      <c r="U53" s="139">
        <v>451.3</v>
      </c>
      <c r="V53" s="139"/>
    </row>
    <row r="54" spans="1:22" ht="15.75" customHeight="1">
      <c r="A54" s="550"/>
      <c r="B54" s="553"/>
      <c r="C54" s="556"/>
      <c r="D54" s="758"/>
      <c r="E54" s="729"/>
      <c r="F54" s="725"/>
      <c r="G54" s="702"/>
      <c r="H54" s="108" t="s">
        <v>18</v>
      </c>
      <c r="I54" s="119">
        <f>J54+L54</f>
        <v>2762.8</v>
      </c>
      <c r="J54" s="120"/>
      <c r="K54" s="120"/>
      <c r="L54" s="121">
        <v>2762.8</v>
      </c>
      <c r="M54" s="119">
        <f>N54+P54</f>
        <v>3743.2</v>
      </c>
      <c r="N54" s="133"/>
      <c r="O54" s="133"/>
      <c r="P54" s="138">
        <v>3743.2</v>
      </c>
      <c r="Q54" s="414">
        <f>R54+T54</f>
        <v>3743.2</v>
      </c>
      <c r="R54" s="406"/>
      <c r="S54" s="406"/>
      <c r="T54" s="407">
        <v>3743.2</v>
      </c>
      <c r="U54" s="139">
        <v>3743.2</v>
      </c>
      <c r="V54" s="139"/>
    </row>
    <row r="55" spans="1:22" ht="15.75" customHeight="1">
      <c r="A55" s="550"/>
      <c r="B55" s="553"/>
      <c r="C55" s="556"/>
      <c r="D55" s="758"/>
      <c r="E55" s="729"/>
      <c r="F55" s="725"/>
      <c r="G55" s="702"/>
      <c r="H55" s="81" t="s">
        <v>110</v>
      </c>
      <c r="I55" s="119">
        <f>J55+L55</f>
        <v>0</v>
      </c>
      <c r="J55" s="120"/>
      <c r="K55" s="120"/>
      <c r="L55" s="121"/>
      <c r="M55" s="119">
        <f>N55+P55</f>
        <v>462.4</v>
      </c>
      <c r="N55" s="133"/>
      <c r="O55" s="133"/>
      <c r="P55" s="138">
        <v>462.4</v>
      </c>
      <c r="Q55" s="414">
        <f>R55+T55</f>
        <v>462.4</v>
      </c>
      <c r="R55" s="406"/>
      <c r="S55" s="406"/>
      <c r="T55" s="407">
        <v>462.4</v>
      </c>
      <c r="U55" s="139">
        <v>462.4</v>
      </c>
      <c r="V55" s="139"/>
    </row>
    <row r="56" spans="1:22" ht="15.75" customHeight="1" thickBot="1">
      <c r="A56" s="551"/>
      <c r="B56" s="554"/>
      <c r="C56" s="557"/>
      <c r="D56" s="759"/>
      <c r="E56" s="730"/>
      <c r="F56" s="726"/>
      <c r="G56" s="703"/>
      <c r="H56" s="391" t="s">
        <v>20</v>
      </c>
      <c r="I56" s="439">
        <f t="shared" ref="I56:V56" si="18">SUM(I52:I55)</f>
        <v>2762.8</v>
      </c>
      <c r="J56" s="422">
        <f t="shared" si="18"/>
        <v>0</v>
      </c>
      <c r="K56" s="440">
        <f t="shared" si="18"/>
        <v>0</v>
      </c>
      <c r="L56" s="441">
        <f t="shared" si="18"/>
        <v>2762.8</v>
      </c>
      <c r="M56" s="439">
        <f t="shared" si="18"/>
        <v>4656.9999999999991</v>
      </c>
      <c r="N56" s="422">
        <f t="shared" si="18"/>
        <v>0</v>
      </c>
      <c r="O56" s="440">
        <f t="shared" si="18"/>
        <v>0</v>
      </c>
      <c r="P56" s="441">
        <f t="shared" si="18"/>
        <v>4656.9999999999991</v>
      </c>
      <c r="Q56" s="439">
        <f t="shared" si="18"/>
        <v>4656.9999999999991</v>
      </c>
      <c r="R56" s="422">
        <f t="shared" si="18"/>
        <v>0</v>
      </c>
      <c r="S56" s="440">
        <f t="shared" si="18"/>
        <v>0</v>
      </c>
      <c r="T56" s="441">
        <f t="shared" si="18"/>
        <v>4656.9999999999991</v>
      </c>
      <c r="U56" s="396">
        <f t="shared" si="18"/>
        <v>4656.8999999999996</v>
      </c>
      <c r="V56" s="396">
        <f t="shared" si="18"/>
        <v>0</v>
      </c>
    </row>
    <row r="57" spans="1:22" ht="15.75" customHeight="1">
      <c r="A57" s="549" t="s">
        <v>8</v>
      </c>
      <c r="B57" s="552" t="s">
        <v>8</v>
      </c>
      <c r="C57" s="555" t="s">
        <v>14</v>
      </c>
      <c r="D57" s="768" t="s">
        <v>131</v>
      </c>
      <c r="E57" s="721" t="s">
        <v>22</v>
      </c>
      <c r="F57" s="724" t="s">
        <v>12</v>
      </c>
      <c r="G57" s="701" t="s">
        <v>144</v>
      </c>
      <c r="H57" s="108" t="s">
        <v>11</v>
      </c>
      <c r="I57" s="137">
        <f>J57+L57</f>
        <v>0</v>
      </c>
      <c r="J57" s="128"/>
      <c r="K57" s="128"/>
      <c r="L57" s="129"/>
      <c r="M57" s="137">
        <f>N57+P57</f>
        <v>0</v>
      </c>
      <c r="N57" s="130"/>
      <c r="O57" s="130"/>
      <c r="P57" s="131"/>
      <c r="Q57" s="442">
        <f>R57+T57</f>
        <v>0</v>
      </c>
      <c r="R57" s="443"/>
      <c r="S57" s="443"/>
      <c r="T57" s="444"/>
      <c r="U57" s="132"/>
      <c r="V57" s="132"/>
    </row>
    <row r="58" spans="1:22" ht="16.5" customHeight="1">
      <c r="A58" s="550"/>
      <c r="B58" s="553"/>
      <c r="C58" s="556"/>
      <c r="D58" s="769"/>
      <c r="E58" s="731"/>
      <c r="F58" s="725"/>
      <c r="G58" s="702"/>
      <c r="H58" s="110" t="s">
        <v>18</v>
      </c>
      <c r="I58" s="119">
        <f>J58+L58</f>
        <v>0</v>
      </c>
      <c r="J58" s="120"/>
      <c r="K58" s="120"/>
      <c r="L58" s="121"/>
      <c r="M58" s="119">
        <f>N58+P58</f>
        <v>932.3</v>
      </c>
      <c r="N58" s="133"/>
      <c r="O58" s="133"/>
      <c r="P58" s="122">
        <v>932.3</v>
      </c>
      <c r="Q58" s="414">
        <f>R58+T58</f>
        <v>932.3</v>
      </c>
      <c r="R58" s="406"/>
      <c r="S58" s="406"/>
      <c r="T58" s="407">
        <v>932.3</v>
      </c>
      <c r="U58" s="123">
        <v>2050.9</v>
      </c>
      <c r="V58" s="123">
        <v>745.9</v>
      </c>
    </row>
    <row r="59" spans="1:22" ht="16.5" customHeight="1">
      <c r="A59" s="550"/>
      <c r="B59" s="553"/>
      <c r="C59" s="556"/>
      <c r="D59" s="271" t="s">
        <v>212</v>
      </c>
      <c r="E59" s="728" t="s">
        <v>140</v>
      </c>
      <c r="F59" s="725"/>
      <c r="G59" s="702"/>
      <c r="H59" s="272" t="s">
        <v>30</v>
      </c>
      <c r="I59" s="119">
        <f>J59+L59</f>
        <v>0</v>
      </c>
      <c r="J59" s="120"/>
      <c r="K59" s="120"/>
      <c r="L59" s="121"/>
      <c r="M59" s="119">
        <f>N59+P59</f>
        <v>0</v>
      </c>
      <c r="N59" s="120"/>
      <c r="O59" s="120"/>
      <c r="P59" s="122"/>
      <c r="Q59" s="414">
        <f>R59+T59</f>
        <v>0</v>
      </c>
      <c r="R59" s="406"/>
      <c r="S59" s="406"/>
      <c r="T59" s="407"/>
      <c r="U59" s="123">
        <v>227.9</v>
      </c>
      <c r="V59" s="123">
        <v>186.4</v>
      </c>
    </row>
    <row r="60" spans="1:22" ht="16.5" customHeight="1">
      <c r="A60" s="550"/>
      <c r="B60" s="553"/>
      <c r="C60" s="556"/>
      <c r="D60" s="271" t="s">
        <v>213</v>
      </c>
      <c r="E60" s="729"/>
      <c r="F60" s="725"/>
      <c r="G60" s="702"/>
      <c r="H60" s="110"/>
      <c r="I60" s="144"/>
      <c r="J60" s="142"/>
      <c r="K60" s="142"/>
      <c r="L60" s="141"/>
      <c r="M60" s="145"/>
      <c r="N60" s="142"/>
      <c r="O60" s="142"/>
      <c r="P60" s="142"/>
      <c r="Q60" s="445"/>
      <c r="R60" s="446"/>
      <c r="S60" s="446"/>
      <c r="T60" s="410"/>
      <c r="U60" s="143"/>
      <c r="V60" s="143"/>
    </row>
    <row r="61" spans="1:22" ht="19.5" customHeight="1">
      <c r="A61" s="550"/>
      <c r="B61" s="553"/>
      <c r="C61" s="556"/>
      <c r="D61" s="732" t="s">
        <v>150</v>
      </c>
      <c r="E61" s="729"/>
      <c r="F61" s="725"/>
      <c r="G61" s="702"/>
      <c r="H61" s="80"/>
      <c r="I61" s="144"/>
      <c r="J61" s="142"/>
      <c r="K61" s="142"/>
      <c r="L61" s="141"/>
      <c r="M61" s="145"/>
      <c r="N61" s="142"/>
      <c r="O61" s="142"/>
      <c r="P61" s="142"/>
      <c r="Q61" s="445"/>
      <c r="R61" s="446"/>
      <c r="S61" s="446"/>
      <c r="T61" s="410"/>
      <c r="U61" s="143"/>
      <c r="V61" s="143"/>
    </row>
    <row r="62" spans="1:22" ht="19.5" customHeight="1" thickBot="1">
      <c r="A62" s="551"/>
      <c r="B62" s="554"/>
      <c r="C62" s="557"/>
      <c r="D62" s="733"/>
      <c r="E62" s="730"/>
      <c r="F62" s="726"/>
      <c r="G62" s="703"/>
      <c r="H62" s="436" t="s">
        <v>20</v>
      </c>
      <c r="I62" s="375">
        <f t="shared" ref="I62:V62" si="19">SUM(I57:I61)</f>
        <v>0</v>
      </c>
      <c r="J62" s="437">
        <f t="shared" si="19"/>
        <v>0</v>
      </c>
      <c r="K62" s="437">
        <f t="shared" si="19"/>
        <v>0</v>
      </c>
      <c r="L62" s="360">
        <f t="shared" si="19"/>
        <v>0</v>
      </c>
      <c r="M62" s="375">
        <f t="shared" si="19"/>
        <v>932.3</v>
      </c>
      <c r="N62" s="437">
        <f t="shared" si="19"/>
        <v>0</v>
      </c>
      <c r="O62" s="437">
        <f t="shared" si="19"/>
        <v>0</v>
      </c>
      <c r="P62" s="360">
        <f t="shared" si="19"/>
        <v>932.3</v>
      </c>
      <c r="Q62" s="438">
        <f t="shared" si="19"/>
        <v>932.3</v>
      </c>
      <c r="R62" s="390">
        <f t="shared" si="19"/>
        <v>0</v>
      </c>
      <c r="S62" s="390">
        <f t="shared" si="19"/>
        <v>0</v>
      </c>
      <c r="T62" s="353">
        <f t="shared" si="19"/>
        <v>932.3</v>
      </c>
      <c r="U62" s="362">
        <f t="shared" si="19"/>
        <v>2278.8000000000002</v>
      </c>
      <c r="V62" s="362">
        <f t="shared" si="19"/>
        <v>932.3</v>
      </c>
    </row>
    <row r="63" spans="1:22" ht="16.5" customHeight="1">
      <c r="A63" s="549" t="s">
        <v>8</v>
      </c>
      <c r="B63" s="552" t="s">
        <v>8</v>
      </c>
      <c r="C63" s="668" t="s">
        <v>15</v>
      </c>
      <c r="D63" s="772" t="s">
        <v>56</v>
      </c>
      <c r="E63" s="572"/>
      <c r="F63" s="563" t="s">
        <v>12</v>
      </c>
      <c r="G63" s="546" t="s">
        <v>144</v>
      </c>
      <c r="H63" s="282" t="s">
        <v>11</v>
      </c>
      <c r="I63" s="202">
        <f>J63+L63</f>
        <v>60</v>
      </c>
      <c r="J63" s="203"/>
      <c r="K63" s="203"/>
      <c r="L63" s="204">
        <v>60</v>
      </c>
      <c r="M63" s="202">
        <f>N63+P63</f>
        <v>41.4</v>
      </c>
      <c r="N63" s="203"/>
      <c r="O63" s="203"/>
      <c r="P63" s="323">
        <v>41.4</v>
      </c>
      <c r="Q63" s="447">
        <f>R63+T63</f>
        <v>41.4</v>
      </c>
      <c r="R63" s="448"/>
      <c r="S63" s="448"/>
      <c r="T63" s="449">
        <f>9.7+31.7</f>
        <v>41.4</v>
      </c>
      <c r="U63" s="205">
        <v>60</v>
      </c>
      <c r="V63" s="206">
        <v>60</v>
      </c>
    </row>
    <row r="64" spans="1:22" ht="16.5" customHeight="1">
      <c r="A64" s="550"/>
      <c r="B64" s="553"/>
      <c r="C64" s="669"/>
      <c r="D64" s="756"/>
      <c r="E64" s="573"/>
      <c r="F64" s="564"/>
      <c r="G64" s="547"/>
      <c r="H64" s="283" t="s">
        <v>53</v>
      </c>
      <c r="I64" s="207">
        <f>J64+L64</f>
        <v>0</v>
      </c>
      <c r="J64" s="208"/>
      <c r="K64" s="208"/>
      <c r="L64" s="209"/>
      <c r="M64" s="207">
        <f>N64+P64</f>
        <v>0</v>
      </c>
      <c r="N64" s="208"/>
      <c r="O64" s="208"/>
      <c r="P64" s="324"/>
      <c r="Q64" s="450">
        <f>R64+T64</f>
        <v>0</v>
      </c>
      <c r="R64" s="451"/>
      <c r="S64" s="451"/>
      <c r="T64" s="452"/>
      <c r="U64" s="210"/>
      <c r="V64" s="211"/>
    </row>
    <row r="65" spans="1:22" ht="16.5" customHeight="1" thickBot="1">
      <c r="A65" s="551"/>
      <c r="B65" s="554"/>
      <c r="C65" s="670"/>
      <c r="D65" s="773"/>
      <c r="E65" s="574"/>
      <c r="F65" s="565"/>
      <c r="G65" s="548"/>
      <c r="H65" s="425" t="s">
        <v>20</v>
      </c>
      <c r="I65" s="426">
        <f t="shared" ref="I65:V65" si="20">SUM(I63:I64)</f>
        <v>60</v>
      </c>
      <c r="J65" s="427">
        <f t="shared" si="20"/>
        <v>0</v>
      </c>
      <c r="K65" s="428">
        <f t="shared" si="20"/>
        <v>0</v>
      </c>
      <c r="L65" s="429">
        <f t="shared" si="20"/>
        <v>60</v>
      </c>
      <c r="M65" s="426">
        <f t="shared" si="20"/>
        <v>41.4</v>
      </c>
      <c r="N65" s="427">
        <f t="shared" si="20"/>
        <v>0</v>
      </c>
      <c r="O65" s="428">
        <f t="shared" si="20"/>
        <v>0</v>
      </c>
      <c r="P65" s="430">
        <f t="shared" si="20"/>
        <v>41.4</v>
      </c>
      <c r="Q65" s="431">
        <f t="shared" si="20"/>
        <v>41.4</v>
      </c>
      <c r="R65" s="432">
        <f t="shared" si="20"/>
        <v>0</v>
      </c>
      <c r="S65" s="432">
        <f t="shared" si="20"/>
        <v>0</v>
      </c>
      <c r="T65" s="433">
        <f t="shared" si="20"/>
        <v>41.4</v>
      </c>
      <c r="U65" s="434">
        <f t="shared" si="20"/>
        <v>60</v>
      </c>
      <c r="V65" s="435">
        <f t="shared" si="20"/>
        <v>60</v>
      </c>
    </row>
    <row r="66" spans="1:22" ht="15.75" customHeight="1">
      <c r="A66" s="549" t="s">
        <v>8</v>
      </c>
      <c r="B66" s="552" t="s">
        <v>8</v>
      </c>
      <c r="C66" s="779" t="s">
        <v>39</v>
      </c>
      <c r="D66" s="558" t="s">
        <v>50</v>
      </c>
      <c r="E66" s="480" t="s">
        <v>22</v>
      </c>
      <c r="F66" s="807" t="s">
        <v>12</v>
      </c>
      <c r="G66" s="709">
        <v>5</v>
      </c>
      <c r="H66" s="111" t="s">
        <v>11</v>
      </c>
      <c r="I66" s="148">
        <f>J66+L66</f>
        <v>15.2</v>
      </c>
      <c r="J66" s="114">
        <v>15.2</v>
      </c>
      <c r="K66" s="114"/>
      <c r="L66" s="115"/>
      <c r="M66" s="148">
        <f>N66+P66</f>
        <v>0</v>
      </c>
      <c r="N66" s="114"/>
      <c r="O66" s="114"/>
      <c r="P66" s="115"/>
      <c r="Q66" s="408">
        <f>R66+T66</f>
        <v>0</v>
      </c>
      <c r="R66" s="443"/>
      <c r="S66" s="443"/>
      <c r="T66" s="444"/>
      <c r="U66" s="149"/>
      <c r="V66" s="149"/>
    </row>
    <row r="67" spans="1:22" ht="15.75" customHeight="1">
      <c r="A67" s="550"/>
      <c r="B67" s="553"/>
      <c r="C67" s="780"/>
      <c r="D67" s="559"/>
      <c r="E67" s="776" t="s">
        <v>137</v>
      </c>
      <c r="F67" s="808"/>
      <c r="G67" s="710"/>
      <c r="H67" s="105" t="s">
        <v>18</v>
      </c>
      <c r="I67" s="150">
        <f>J67+L67</f>
        <v>0</v>
      </c>
      <c r="J67" s="140"/>
      <c r="K67" s="140"/>
      <c r="L67" s="141"/>
      <c r="M67" s="150">
        <f>N67+P67</f>
        <v>0</v>
      </c>
      <c r="N67" s="140"/>
      <c r="O67" s="140"/>
      <c r="P67" s="141"/>
      <c r="Q67" s="453">
        <f>R67+T67</f>
        <v>0</v>
      </c>
      <c r="R67" s="409"/>
      <c r="S67" s="409"/>
      <c r="T67" s="410"/>
      <c r="U67" s="151"/>
      <c r="V67" s="151"/>
    </row>
    <row r="68" spans="1:22" ht="15.75" customHeight="1">
      <c r="A68" s="550"/>
      <c r="B68" s="553"/>
      <c r="C68" s="780"/>
      <c r="D68" s="559"/>
      <c r="E68" s="777"/>
      <c r="F68" s="808"/>
      <c r="G68" s="710"/>
      <c r="H68" s="105" t="s">
        <v>30</v>
      </c>
      <c r="I68" s="152">
        <f>J68+L68</f>
        <v>0</v>
      </c>
      <c r="J68" s="120"/>
      <c r="K68" s="120"/>
      <c r="L68" s="121"/>
      <c r="M68" s="152">
        <f>N68+P68</f>
        <v>0</v>
      </c>
      <c r="N68" s="120"/>
      <c r="O68" s="120"/>
      <c r="P68" s="121"/>
      <c r="Q68" s="405">
        <f>R68+T68</f>
        <v>0</v>
      </c>
      <c r="R68" s="406"/>
      <c r="S68" s="406"/>
      <c r="T68" s="407"/>
      <c r="U68" s="153">
        <v>200</v>
      </c>
      <c r="V68" s="153"/>
    </row>
    <row r="69" spans="1:22" ht="15.75" customHeight="1" thickBot="1">
      <c r="A69" s="551"/>
      <c r="B69" s="554"/>
      <c r="C69" s="781"/>
      <c r="D69" s="560"/>
      <c r="E69" s="778"/>
      <c r="F69" s="809"/>
      <c r="G69" s="711"/>
      <c r="H69" s="423" t="s">
        <v>20</v>
      </c>
      <c r="I69" s="398">
        <f t="shared" ref="I69:V69" si="21">SUM(I66:I68)</f>
        <v>15.2</v>
      </c>
      <c r="J69" s="399">
        <f t="shared" si="21"/>
        <v>15.2</v>
      </c>
      <c r="K69" s="399">
        <f t="shared" si="21"/>
        <v>0</v>
      </c>
      <c r="L69" s="400">
        <f t="shared" si="21"/>
        <v>0</v>
      </c>
      <c r="M69" s="398">
        <f t="shared" si="21"/>
        <v>0</v>
      </c>
      <c r="N69" s="399">
        <f t="shared" si="21"/>
        <v>0</v>
      </c>
      <c r="O69" s="399">
        <f t="shared" si="21"/>
        <v>0</v>
      </c>
      <c r="P69" s="400">
        <f t="shared" si="21"/>
        <v>0</v>
      </c>
      <c r="Q69" s="398">
        <f t="shared" si="21"/>
        <v>0</v>
      </c>
      <c r="R69" s="399">
        <f t="shared" si="21"/>
        <v>0</v>
      </c>
      <c r="S69" s="399">
        <f t="shared" si="21"/>
        <v>0</v>
      </c>
      <c r="T69" s="400">
        <f t="shared" si="21"/>
        <v>0</v>
      </c>
      <c r="U69" s="424">
        <f t="shared" si="21"/>
        <v>200</v>
      </c>
      <c r="V69" s="424">
        <f t="shared" si="21"/>
        <v>0</v>
      </c>
    </row>
    <row r="70" spans="1:22" ht="15.75" customHeight="1">
      <c r="A70" s="549" t="s">
        <v>8</v>
      </c>
      <c r="B70" s="552" t="s">
        <v>8</v>
      </c>
      <c r="C70" s="555" t="s">
        <v>16</v>
      </c>
      <c r="D70" s="718" t="s">
        <v>152</v>
      </c>
      <c r="E70" s="543" t="s">
        <v>22</v>
      </c>
      <c r="F70" s="724" t="s">
        <v>12</v>
      </c>
      <c r="G70" s="701" t="s">
        <v>144</v>
      </c>
      <c r="H70" s="106" t="s">
        <v>184</v>
      </c>
      <c r="I70" s="113">
        <f>J70+L70</f>
        <v>200</v>
      </c>
      <c r="J70" s="114"/>
      <c r="K70" s="114"/>
      <c r="L70" s="115">
        <v>200</v>
      </c>
      <c r="M70" s="113">
        <f>N70+P70</f>
        <v>0</v>
      </c>
      <c r="N70" s="116"/>
      <c r="O70" s="116"/>
      <c r="P70" s="117"/>
      <c r="Q70" s="411">
        <f>R70+T70</f>
        <v>0</v>
      </c>
      <c r="R70" s="403"/>
      <c r="S70" s="403"/>
      <c r="T70" s="454"/>
      <c r="U70" s="118"/>
      <c r="V70" s="118"/>
    </row>
    <row r="71" spans="1:22" ht="15.75" customHeight="1">
      <c r="A71" s="550"/>
      <c r="B71" s="553"/>
      <c r="C71" s="556"/>
      <c r="D71" s="719"/>
      <c r="E71" s="728" t="s">
        <v>142</v>
      </c>
      <c r="F71" s="725"/>
      <c r="G71" s="702"/>
      <c r="H71" s="105" t="s">
        <v>53</v>
      </c>
      <c r="I71" s="119">
        <f>J71+L71</f>
        <v>0</v>
      </c>
      <c r="J71" s="120"/>
      <c r="K71" s="120"/>
      <c r="L71" s="121"/>
      <c r="M71" s="119">
        <f>N71+P71</f>
        <v>0</v>
      </c>
      <c r="N71" s="120"/>
      <c r="O71" s="120"/>
      <c r="P71" s="122"/>
      <c r="Q71" s="414">
        <f>R71+T71</f>
        <v>0</v>
      </c>
      <c r="R71" s="406"/>
      <c r="S71" s="406"/>
      <c r="T71" s="455"/>
      <c r="U71" s="123"/>
      <c r="V71" s="123"/>
    </row>
    <row r="72" spans="1:22" ht="15.75" customHeight="1">
      <c r="A72" s="550"/>
      <c r="B72" s="553"/>
      <c r="C72" s="556"/>
      <c r="D72" s="719"/>
      <c r="E72" s="729"/>
      <c r="F72" s="725"/>
      <c r="G72" s="702"/>
      <c r="H72" s="107" t="s">
        <v>110</v>
      </c>
      <c r="I72" s="124">
        <f>J72+L72</f>
        <v>288.89999999999998</v>
      </c>
      <c r="J72" s="125"/>
      <c r="K72" s="125"/>
      <c r="L72" s="126">
        <v>288.89999999999998</v>
      </c>
      <c r="M72" s="124">
        <f>N72+P72</f>
        <v>0</v>
      </c>
      <c r="N72" s="125"/>
      <c r="O72" s="125"/>
      <c r="P72" s="125"/>
      <c r="Q72" s="456">
        <f>R72+T72</f>
        <v>13.2</v>
      </c>
      <c r="R72" s="457"/>
      <c r="S72" s="457"/>
      <c r="T72" s="457">
        <v>13.2</v>
      </c>
      <c r="U72" s="127"/>
      <c r="V72" s="127"/>
    </row>
    <row r="73" spans="1:22" ht="15.75" customHeight="1">
      <c r="A73" s="550"/>
      <c r="B73" s="553"/>
      <c r="C73" s="556"/>
      <c r="D73" s="719"/>
      <c r="E73" s="729"/>
      <c r="F73" s="725"/>
      <c r="G73" s="702"/>
      <c r="H73" s="105" t="s">
        <v>18</v>
      </c>
      <c r="I73" s="124">
        <f>J73+L73</f>
        <v>2337.1</v>
      </c>
      <c r="J73" s="125"/>
      <c r="K73" s="125"/>
      <c r="L73" s="126">
        <v>2337.1</v>
      </c>
      <c r="M73" s="124">
        <f>N73+P73</f>
        <v>0</v>
      </c>
      <c r="N73" s="125"/>
      <c r="O73" s="125"/>
      <c r="P73" s="125"/>
      <c r="Q73" s="456">
        <f>R73+T73</f>
        <v>107.1</v>
      </c>
      <c r="R73" s="457"/>
      <c r="S73" s="457"/>
      <c r="T73" s="457">
        <v>107.1</v>
      </c>
      <c r="U73" s="127"/>
      <c r="V73" s="127"/>
    </row>
    <row r="74" spans="1:22" ht="15.75" customHeight="1" thickBot="1">
      <c r="A74" s="551"/>
      <c r="B74" s="554"/>
      <c r="C74" s="557"/>
      <c r="D74" s="720"/>
      <c r="E74" s="730"/>
      <c r="F74" s="726"/>
      <c r="G74" s="703"/>
      <c r="H74" s="391" t="s">
        <v>20</v>
      </c>
      <c r="I74" s="419">
        <f t="shared" ref="I74:V74" si="22">SUM(I70:I73)</f>
        <v>2826</v>
      </c>
      <c r="J74" s="420">
        <f t="shared" si="22"/>
        <v>0</v>
      </c>
      <c r="K74" s="421">
        <f t="shared" si="22"/>
        <v>0</v>
      </c>
      <c r="L74" s="422">
        <f t="shared" si="22"/>
        <v>2826</v>
      </c>
      <c r="M74" s="419">
        <f t="shared" si="22"/>
        <v>0</v>
      </c>
      <c r="N74" s="420">
        <f t="shared" si="22"/>
        <v>0</v>
      </c>
      <c r="O74" s="421">
        <f t="shared" si="22"/>
        <v>0</v>
      </c>
      <c r="P74" s="422">
        <f t="shared" si="22"/>
        <v>0</v>
      </c>
      <c r="Q74" s="419">
        <f t="shared" si="22"/>
        <v>120.3</v>
      </c>
      <c r="R74" s="420">
        <f t="shared" si="22"/>
        <v>0</v>
      </c>
      <c r="S74" s="421">
        <f t="shared" si="22"/>
        <v>0</v>
      </c>
      <c r="T74" s="422">
        <f t="shared" si="22"/>
        <v>120.3</v>
      </c>
      <c r="U74" s="396">
        <f t="shared" si="22"/>
        <v>0</v>
      </c>
      <c r="V74" s="396">
        <f t="shared" si="22"/>
        <v>0</v>
      </c>
    </row>
    <row r="75" spans="1:22" ht="15.75" customHeight="1">
      <c r="A75" s="549" t="s">
        <v>8</v>
      </c>
      <c r="B75" s="552" t="s">
        <v>8</v>
      </c>
      <c r="C75" s="555" t="s">
        <v>52</v>
      </c>
      <c r="D75" s="718" t="s">
        <v>153</v>
      </c>
      <c r="E75" s="721" t="s">
        <v>22</v>
      </c>
      <c r="F75" s="724" t="s">
        <v>12</v>
      </c>
      <c r="G75" s="701" t="s">
        <v>144</v>
      </c>
      <c r="H75" s="106" t="s">
        <v>184</v>
      </c>
      <c r="I75" s="113">
        <f>J75+L75</f>
        <v>158.6</v>
      </c>
      <c r="J75" s="128"/>
      <c r="K75" s="128"/>
      <c r="L75" s="129">
        <v>158.6</v>
      </c>
      <c r="M75" s="113">
        <f>N75+P75</f>
        <v>0</v>
      </c>
      <c r="N75" s="130"/>
      <c r="O75" s="130"/>
      <c r="P75" s="131"/>
      <c r="Q75" s="411">
        <f>R75+T75</f>
        <v>0</v>
      </c>
      <c r="R75" s="403"/>
      <c r="S75" s="403"/>
      <c r="T75" s="454"/>
      <c r="U75" s="118"/>
      <c r="V75" s="132"/>
    </row>
    <row r="76" spans="1:22" ht="15.75" customHeight="1">
      <c r="A76" s="550"/>
      <c r="B76" s="553"/>
      <c r="C76" s="556"/>
      <c r="D76" s="719"/>
      <c r="E76" s="731"/>
      <c r="F76" s="725"/>
      <c r="G76" s="702"/>
      <c r="H76" s="108" t="s">
        <v>11</v>
      </c>
      <c r="I76" s="119">
        <f>J76+L76</f>
        <v>1.4</v>
      </c>
      <c r="J76" s="128">
        <v>1.4</v>
      </c>
      <c r="K76" s="128"/>
      <c r="L76" s="129"/>
      <c r="M76" s="119">
        <f>N76+P76</f>
        <v>0</v>
      </c>
      <c r="N76" s="130"/>
      <c r="O76" s="130"/>
      <c r="P76" s="131"/>
      <c r="Q76" s="414">
        <f>R76+T76</f>
        <v>0</v>
      </c>
      <c r="R76" s="443"/>
      <c r="S76" s="443"/>
      <c r="T76" s="458"/>
      <c r="U76" s="132"/>
      <c r="V76" s="132"/>
    </row>
    <row r="77" spans="1:22" ht="15.75" customHeight="1">
      <c r="A77" s="550"/>
      <c r="B77" s="553"/>
      <c r="C77" s="556"/>
      <c r="D77" s="719"/>
      <c r="E77" s="728" t="s">
        <v>142</v>
      </c>
      <c r="F77" s="725"/>
      <c r="G77" s="702"/>
      <c r="H77" s="105" t="s">
        <v>110</v>
      </c>
      <c r="I77" s="124">
        <f>J77+L77</f>
        <v>218</v>
      </c>
      <c r="J77" s="120"/>
      <c r="K77" s="120"/>
      <c r="L77" s="121">
        <v>218</v>
      </c>
      <c r="M77" s="124">
        <f>N77+P77</f>
        <v>0</v>
      </c>
      <c r="N77" s="120"/>
      <c r="O77" s="120"/>
      <c r="P77" s="122"/>
      <c r="Q77" s="456">
        <f>R77+T77</f>
        <v>0</v>
      </c>
      <c r="R77" s="406"/>
      <c r="S77" s="406"/>
      <c r="T77" s="455"/>
      <c r="U77" s="123"/>
      <c r="V77" s="123"/>
    </row>
    <row r="78" spans="1:22" ht="15.75" customHeight="1">
      <c r="A78" s="550"/>
      <c r="B78" s="553"/>
      <c r="C78" s="556"/>
      <c r="D78" s="719"/>
      <c r="E78" s="729"/>
      <c r="F78" s="725"/>
      <c r="G78" s="702"/>
      <c r="H78" s="105" t="s">
        <v>18</v>
      </c>
      <c r="I78" s="124">
        <f>J78+L78</f>
        <v>1765</v>
      </c>
      <c r="J78" s="125"/>
      <c r="K78" s="125"/>
      <c r="L78" s="126">
        <v>1765</v>
      </c>
      <c r="M78" s="124">
        <f>N78+P78</f>
        <v>0</v>
      </c>
      <c r="N78" s="125"/>
      <c r="O78" s="125"/>
      <c r="P78" s="125"/>
      <c r="Q78" s="456">
        <f>R78+T78</f>
        <v>0</v>
      </c>
      <c r="R78" s="457"/>
      <c r="S78" s="457"/>
      <c r="T78" s="457"/>
      <c r="U78" s="127"/>
      <c r="V78" s="127"/>
    </row>
    <row r="79" spans="1:22" ht="15.75" customHeight="1" thickBot="1">
      <c r="A79" s="551"/>
      <c r="B79" s="554"/>
      <c r="C79" s="557"/>
      <c r="D79" s="720"/>
      <c r="E79" s="730"/>
      <c r="F79" s="726"/>
      <c r="G79" s="703"/>
      <c r="H79" s="391" t="s">
        <v>20</v>
      </c>
      <c r="I79" s="419">
        <f t="shared" ref="I79:V79" si="23">SUM(I75:I78)</f>
        <v>2143</v>
      </c>
      <c r="J79" s="420">
        <f t="shared" si="23"/>
        <v>1.4</v>
      </c>
      <c r="K79" s="421">
        <f t="shared" si="23"/>
        <v>0</v>
      </c>
      <c r="L79" s="422">
        <f t="shared" si="23"/>
        <v>2141.6</v>
      </c>
      <c r="M79" s="419">
        <f t="shared" si="23"/>
        <v>0</v>
      </c>
      <c r="N79" s="420">
        <f t="shared" si="23"/>
        <v>0</v>
      </c>
      <c r="O79" s="421">
        <f t="shared" si="23"/>
        <v>0</v>
      </c>
      <c r="P79" s="422">
        <f t="shared" si="23"/>
        <v>0</v>
      </c>
      <c r="Q79" s="419">
        <f t="shared" si="23"/>
        <v>0</v>
      </c>
      <c r="R79" s="420">
        <f t="shared" si="23"/>
        <v>0</v>
      </c>
      <c r="S79" s="421">
        <f t="shared" si="23"/>
        <v>0</v>
      </c>
      <c r="T79" s="422">
        <f t="shared" si="23"/>
        <v>0</v>
      </c>
      <c r="U79" s="396">
        <f t="shared" si="23"/>
        <v>0</v>
      </c>
      <c r="V79" s="396">
        <f t="shared" si="23"/>
        <v>0</v>
      </c>
    </row>
    <row r="80" spans="1:22" ht="15.75" customHeight="1">
      <c r="A80" s="549" t="s">
        <v>8</v>
      </c>
      <c r="B80" s="552" t="s">
        <v>8</v>
      </c>
      <c r="C80" s="555" t="s">
        <v>17</v>
      </c>
      <c r="D80" s="715" t="s">
        <v>103</v>
      </c>
      <c r="E80" s="721" t="s">
        <v>22</v>
      </c>
      <c r="F80" s="724" t="s">
        <v>12</v>
      </c>
      <c r="G80" s="701" t="s">
        <v>144</v>
      </c>
      <c r="H80" s="81" t="s">
        <v>53</v>
      </c>
      <c r="I80" s="119">
        <f>J80+L80</f>
        <v>495.1</v>
      </c>
      <c r="J80" s="120"/>
      <c r="K80" s="120"/>
      <c r="L80" s="121">
        <v>495.1</v>
      </c>
      <c r="M80" s="119">
        <f>N80+P80</f>
        <v>0</v>
      </c>
      <c r="N80" s="133"/>
      <c r="O80" s="133"/>
      <c r="P80" s="122"/>
      <c r="Q80" s="414">
        <f>R80+T80</f>
        <v>0</v>
      </c>
      <c r="R80" s="403"/>
      <c r="S80" s="403"/>
      <c r="T80" s="404"/>
      <c r="U80" s="123"/>
      <c r="V80" s="118"/>
    </row>
    <row r="81" spans="1:22" ht="15.75" customHeight="1">
      <c r="A81" s="550"/>
      <c r="B81" s="553"/>
      <c r="C81" s="556"/>
      <c r="D81" s="716"/>
      <c r="E81" s="722"/>
      <c r="F81" s="725"/>
      <c r="G81" s="702"/>
      <c r="H81" s="82"/>
      <c r="I81" s="134">
        <f>J81+L81</f>
        <v>0</v>
      </c>
      <c r="J81" s="135"/>
      <c r="K81" s="135"/>
      <c r="L81" s="126"/>
      <c r="M81" s="134">
        <f>N81+P81</f>
        <v>0</v>
      </c>
      <c r="N81" s="136"/>
      <c r="O81" s="136"/>
      <c r="P81" s="125"/>
      <c r="Q81" s="459">
        <f>R81+T81</f>
        <v>0</v>
      </c>
      <c r="R81" s="460"/>
      <c r="S81" s="460"/>
      <c r="T81" s="461"/>
      <c r="U81" s="127"/>
      <c r="V81" s="127"/>
    </row>
    <row r="82" spans="1:22" ht="15.75" customHeight="1" thickBot="1">
      <c r="A82" s="550"/>
      <c r="B82" s="553"/>
      <c r="C82" s="557"/>
      <c r="D82" s="716"/>
      <c r="E82" s="723"/>
      <c r="F82" s="726"/>
      <c r="G82" s="703"/>
      <c r="H82" s="417" t="s">
        <v>20</v>
      </c>
      <c r="I82" s="392">
        <f>SUM(I80:I81)</f>
        <v>495.1</v>
      </c>
      <c r="J82" s="394">
        <f>SUM(J80,J81)</f>
        <v>0</v>
      </c>
      <c r="K82" s="394">
        <f>SUM(K80,K81)</f>
        <v>0</v>
      </c>
      <c r="L82" s="395">
        <f>SUM(L80,L81)</f>
        <v>495.1</v>
      </c>
      <c r="M82" s="392">
        <f>SUM(M80:M81)</f>
        <v>0</v>
      </c>
      <c r="N82" s="394">
        <f>SUM(N80,N81)</f>
        <v>0</v>
      </c>
      <c r="O82" s="394">
        <f>SUM(O80,O81)</f>
        <v>0</v>
      </c>
      <c r="P82" s="395">
        <f>SUM(P80,P81)</f>
        <v>0</v>
      </c>
      <c r="Q82" s="392">
        <f>SUM(Q80:Q81)</f>
        <v>0</v>
      </c>
      <c r="R82" s="394">
        <f>SUM(R80,R81)</f>
        <v>0</v>
      </c>
      <c r="S82" s="394">
        <f>SUM(S80,S81)</f>
        <v>0</v>
      </c>
      <c r="T82" s="395">
        <f>SUM(T80,T81)</f>
        <v>0</v>
      </c>
      <c r="U82" s="418">
        <f>SUM(U80,U81)</f>
        <v>0</v>
      </c>
      <c r="V82" s="418">
        <f>SUM(V80,V81)</f>
        <v>0</v>
      </c>
    </row>
    <row r="83" spans="1:22" ht="15.75" customHeight="1">
      <c r="A83" s="549" t="s">
        <v>8</v>
      </c>
      <c r="B83" s="552" t="s">
        <v>8</v>
      </c>
      <c r="C83" s="555" t="s">
        <v>232</v>
      </c>
      <c r="D83" s="786" t="s">
        <v>235</v>
      </c>
      <c r="E83" s="784" t="s">
        <v>234</v>
      </c>
      <c r="F83" s="725" t="s">
        <v>12</v>
      </c>
      <c r="G83" s="646" t="s">
        <v>144</v>
      </c>
      <c r="H83" s="230" t="s">
        <v>11</v>
      </c>
      <c r="I83" s="113">
        <f t="shared" ref="I83:I89" si="24">J83+L83</f>
        <v>0</v>
      </c>
      <c r="J83" s="114"/>
      <c r="K83" s="114"/>
      <c r="L83" s="115"/>
      <c r="M83" s="113">
        <f t="shared" ref="M83:M89" si="25">N83+P83</f>
        <v>0</v>
      </c>
      <c r="N83" s="224"/>
      <c r="O83" s="224"/>
      <c r="P83" s="225"/>
      <c r="Q83" s="411">
        <f t="shared" ref="Q83:Q89" si="26">R83+T83</f>
        <v>0</v>
      </c>
      <c r="R83" s="403"/>
      <c r="S83" s="403"/>
      <c r="T83" s="404"/>
      <c r="U83" s="226"/>
      <c r="V83" s="226"/>
    </row>
    <row r="84" spans="1:22" ht="15.75" customHeight="1">
      <c r="A84" s="550"/>
      <c r="B84" s="553"/>
      <c r="C84" s="556"/>
      <c r="D84" s="787"/>
      <c r="E84" s="784"/>
      <c r="F84" s="725"/>
      <c r="G84" s="646"/>
      <c r="H84" s="231" t="s">
        <v>184</v>
      </c>
      <c r="I84" s="222">
        <f t="shared" si="24"/>
        <v>0</v>
      </c>
      <c r="J84" s="221"/>
      <c r="K84" s="221"/>
      <c r="L84" s="223"/>
      <c r="M84" s="222">
        <f t="shared" si="25"/>
        <v>0</v>
      </c>
      <c r="N84" s="221"/>
      <c r="O84" s="221"/>
      <c r="P84" s="223"/>
      <c r="Q84" s="414">
        <f t="shared" si="26"/>
        <v>0</v>
      </c>
      <c r="R84" s="460"/>
      <c r="S84" s="460"/>
      <c r="T84" s="461"/>
      <c r="U84" s="227"/>
      <c r="V84" s="227"/>
    </row>
    <row r="85" spans="1:22" ht="15.75" customHeight="1">
      <c r="A85" s="550"/>
      <c r="B85" s="553"/>
      <c r="C85" s="556"/>
      <c r="D85" s="216" t="s">
        <v>233</v>
      </c>
      <c r="E85" s="784"/>
      <c r="F85" s="725"/>
      <c r="G85" s="646"/>
      <c r="H85" s="231" t="s">
        <v>18</v>
      </c>
      <c r="I85" s="222">
        <f t="shared" si="24"/>
        <v>0</v>
      </c>
      <c r="J85" s="221"/>
      <c r="K85" s="221"/>
      <c r="L85" s="223"/>
      <c r="M85" s="222">
        <f t="shared" si="25"/>
        <v>0</v>
      </c>
      <c r="N85" s="221"/>
      <c r="O85" s="221"/>
      <c r="P85" s="223"/>
      <c r="Q85" s="414">
        <f t="shared" si="26"/>
        <v>0</v>
      </c>
      <c r="R85" s="406"/>
      <c r="S85" s="406"/>
      <c r="T85" s="407"/>
      <c r="U85" s="227">
        <v>15000</v>
      </c>
      <c r="V85" s="227"/>
    </row>
    <row r="86" spans="1:22" ht="15.75" customHeight="1">
      <c r="A86" s="550"/>
      <c r="B86" s="553"/>
      <c r="C86" s="556"/>
      <c r="D86" s="217"/>
      <c r="E86" s="784"/>
      <c r="F86" s="725"/>
      <c r="G86" s="646"/>
      <c r="H86" s="231" t="s">
        <v>53</v>
      </c>
      <c r="I86" s="222">
        <f t="shared" si="24"/>
        <v>0</v>
      </c>
      <c r="J86" s="234"/>
      <c r="K86" s="234"/>
      <c r="L86" s="235"/>
      <c r="M86" s="222">
        <f t="shared" si="25"/>
        <v>0</v>
      </c>
      <c r="N86" s="234"/>
      <c r="O86" s="234"/>
      <c r="P86" s="235"/>
      <c r="Q86" s="414">
        <f t="shared" si="26"/>
        <v>0</v>
      </c>
      <c r="R86" s="443"/>
      <c r="S86" s="443"/>
      <c r="T86" s="444"/>
      <c r="U86" s="236"/>
      <c r="V86" s="236"/>
    </row>
    <row r="87" spans="1:22" ht="15.75" customHeight="1">
      <c r="A87" s="550"/>
      <c r="B87" s="553"/>
      <c r="C87" s="556"/>
      <c r="D87" s="217"/>
      <c r="E87" s="784"/>
      <c r="F87" s="725"/>
      <c r="G87" s="646"/>
      <c r="H87" s="232" t="s">
        <v>110</v>
      </c>
      <c r="I87" s="222">
        <f t="shared" si="24"/>
        <v>0</v>
      </c>
      <c r="J87" s="221"/>
      <c r="K87" s="221"/>
      <c r="L87" s="223"/>
      <c r="M87" s="222">
        <f t="shared" si="25"/>
        <v>0</v>
      </c>
      <c r="N87" s="221"/>
      <c r="O87" s="221"/>
      <c r="P87" s="223"/>
      <c r="Q87" s="414">
        <f t="shared" si="26"/>
        <v>0</v>
      </c>
      <c r="R87" s="406"/>
      <c r="S87" s="406"/>
      <c r="T87" s="455"/>
      <c r="U87" s="227"/>
      <c r="V87" s="227"/>
    </row>
    <row r="88" spans="1:22" ht="15.75" customHeight="1">
      <c r="A88" s="550"/>
      <c r="B88" s="553"/>
      <c r="C88" s="556"/>
      <c r="D88" s="217"/>
      <c r="E88" s="784"/>
      <c r="F88" s="725"/>
      <c r="G88" s="646"/>
      <c r="H88" s="232" t="s">
        <v>25</v>
      </c>
      <c r="I88" s="222">
        <f t="shared" si="24"/>
        <v>0</v>
      </c>
      <c r="J88" s="221"/>
      <c r="K88" s="221"/>
      <c r="L88" s="223"/>
      <c r="M88" s="222">
        <f t="shared" si="25"/>
        <v>0</v>
      </c>
      <c r="N88" s="221"/>
      <c r="O88" s="221"/>
      <c r="P88" s="223"/>
      <c r="Q88" s="414">
        <f t="shared" si="26"/>
        <v>0</v>
      </c>
      <c r="R88" s="406"/>
      <c r="S88" s="406"/>
      <c r="T88" s="455"/>
      <c r="U88" s="227"/>
      <c r="V88" s="227"/>
    </row>
    <row r="89" spans="1:22" ht="15.75" customHeight="1">
      <c r="A89" s="550"/>
      <c r="B89" s="553"/>
      <c r="C89" s="556"/>
      <c r="D89" s="217"/>
      <c r="E89" s="784"/>
      <c r="F89" s="725"/>
      <c r="G89" s="646"/>
      <c r="H89" s="232" t="s">
        <v>30</v>
      </c>
      <c r="I89" s="222">
        <f t="shared" si="24"/>
        <v>0</v>
      </c>
      <c r="J89" s="221"/>
      <c r="K89" s="221"/>
      <c r="L89" s="223"/>
      <c r="M89" s="222">
        <f t="shared" si="25"/>
        <v>0</v>
      </c>
      <c r="N89" s="221"/>
      <c r="O89" s="221"/>
      <c r="P89" s="223"/>
      <c r="Q89" s="414">
        <f t="shared" si="26"/>
        <v>0</v>
      </c>
      <c r="R89" s="406"/>
      <c r="S89" s="406"/>
      <c r="T89" s="455"/>
      <c r="U89" s="227">
        <v>4000</v>
      </c>
      <c r="V89" s="227"/>
    </row>
    <row r="90" spans="1:22" ht="15.75" customHeight="1" thickBot="1">
      <c r="A90" s="551"/>
      <c r="B90" s="554"/>
      <c r="C90" s="557"/>
      <c r="D90" s="544"/>
      <c r="E90" s="785"/>
      <c r="F90" s="726"/>
      <c r="G90" s="649"/>
      <c r="H90" s="462" t="s">
        <v>20</v>
      </c>
      <c r="I90" s="463">
        <f t="shared" ref="I90:V90" si="27">SUM(I83:I89)</f>
        <v>0</v>
      </c>
      <c r="J90" s="464">
        <f t="shared" si="27"/>
        <v>0</v>
      </c>
      <c r="K90" s="464">
        <f t="shared" si="27"/>
        <v>0</v>
      </c>
      <c r="L90" s="465">
        <f t="shared" si="27"/>
        <v>0</v>
      </c>
      <c r="M90" s="463">
        <f t="shared" si="27"/>
        <v>0</v>
      </c>
      <c r="N90" s="464">
        <f t="shared" si="27"/>
        <v>0</v>
      </c>
      <c r="O90" s="464">
        <f t="shared" si="27"/>
        <v>0</v>
      </c>
      <c r="P90" s="465">
        <f t="shared" si="27"/>
        <v>0</v>
      </c>
      <c r="Q90" s="463">
        <f t="shared" si="27"/>
        <v>0</v>
      </c>
      <c r="R90" s="464">
        <f t="shared" si="27"/>
        <v>0</v>
      </c>
      <c r="S90" s="464">
        <f t="shared" si="27"/>
        <v>0</v>
      </c>
      <c r="T90" s="465">
        <f t="shared" si="27"/>
        <v>0</v>
      </c>
      <c r="U90" s="466">
        <f>SUM(U83:U89)</f>
        <v>19000</v>
      </c>
      <c r="V90" s="466">
        <f t="shared" si="27"/>
        <v>0</v>
      </c>
    </row>
    <row r="91" spans="1:22" ht="15.75" customHeight="1" thickBot="1">
      <c r="A91" s="25" t="s">
        <v>8</v>
      </c>
      <c r="B91" s="7" t="s">
        <v>8</v>
      </c>
      <c r="C91" s="796" t="s">
        <v>19</v>
      </c>
      <c r="D91" s="797"/>
      <c r="E91" s="797"/>
      <c r="F91" s="797"/>
      <c r="G91" s="797"/>
      <c r="H91" s="797"/>
      <c r="I91" s="158">
        <f t="shared" ref="I91:V91" si="28">SUM(I90,I82,I79,I74,I69,I65,I62,I56,I51,I43,I35,I27,I19)</f>
        <v>22363.199999999997</v>
      </c>
      <c r="J91" s="335">
        <f t="shared" si="28"/>
        <v>16.599999999999998</v>
      </c>
      <c r="K91" s="335">
        <f t="shared" si="28"/>
        <v>0</v>
      </c>
      <c r="L91" s="334">
        <f t="shared" si="28"/>
        <v>22346.6</v>
      </c>
      <c r="M91" s="158">
        <f t="shared" si="28"/>
        <v>19804.099999999999</v>
      </c>
      <c r="N91" s="335">
        <f t="shared" si="28"/>
        <v>0</v>
      </c>
      <c r="O91" s="335">
        <f t="shared" si="28"/>
        <v>0</v>
      </c>
      <c r="P91" s="334">
        <f t="shared" si="28"/>
        <v>19804.099999999999</v>
      </c>
      <c r="Q91" s="158">
        <f t="shared" si="28"/>
        <v>20382.599999999999</v>
      </c>
      <c r="R91" s="335">
        <f t="shared" si="28"/>
        <v>0</v>
      </c>
      <c r="S91" s="335">
        <f t="shared" si="28"/>
        <v>0</v>
      </c>
      <c r="T91" s="338">
        <f t="shared" si="28"/>
        <v>20382.599999999999</v>
      </c>
      <c r="U91" s="514">
        <f>SUM(U90,U82,U79,U74,U69,U65,U62,U56,U51,U43,U35,U27,U19)</f>
        <v>47727.4</v>
      </c>
      <c r="V91" s="515">
        <f t="shared" si="28"/>
        <v>19143.3</v>
      </c>
    </row>
    <row r="92" spans="1:22" ht="15.75" customHeight="1" thickBot="1">
      <c r="A92" s="26" t="s">
        <v>8</v>
      </c>
      <c r="B92" s="23" t="s">
        <v>9</v>
      </c>
      <c r="C92" s="789" t="s">
        <v>49</v>
      </c>
      <c r="D92" s="790"/>
      <c r="E92" s="790"/>
      <c r="F92" s="790"/>
      <c r="G92" s="790"/>
      <c r="H92" s="790"/>
      <c r="I92" s="791"/>
      <c r="J92" s="791"/>
      <c r="K92" s="791"/>
      <c r="L92" s="791"/>
      <c r="M92" s="791"/>
      <c r="N92" s="791"/>
      <c r="O92" s="791"/>
      <c r="P92" s="791"/>
      <c r="Q92" s="791"/>
      <c r="R92" s="791"/>
      <c r="S92" s="791"/>
      <c r="T92" s="791"/>
      <c r="U92" s="790"/>
      <c r="V92" s="792"/>
    </row>
    <row r="93" spans="1:22" ht="15.75" customHeight="1">
      <c r="A93" s="804" t="s">
        <v>8</v>
      </c>
      <c r="B93" s="656" t="s">
        <v>9</v>
      </c>
      <c r="C93" s="798" t="s">
        <v>8</v>
      </c>
      <c r="D93" s="712" t="s">
        <v>214</v>
      </c>
      <c r="E93" s="481" t="s">
        <v>22</v>
      </c>
      <c r="F93" s="801" t="s">
        <v>12</v>
      </c>
      <c r="G93" s="546" t="s">
        <v>144</v>
      </c>
      <c r="H93" s="290" t="s">
        <v>11</v>
      </c>
      <c r="I93" s="113">
        <f>J93+L93</f>
        <v>0</v>
      </c>
      <c r="J93" s="114"/>
      <c r="K93" s="114"/>
      <c r="L93" s="115"/>
      <c r="M93" s="148">
        <f>N93+P93</f>
        <v>0</v>
      </c>
      <c r="N93" s="114"/>
      <c r="O93" s="114"/>
      <c r="P93" s="115"/>
      <c r="Q93" s="527">
        <f>R93+T93</f>
        <v>0.9</v>
      </c>
      <c r="R93" s="528"/>
      <c r="S93" s="528"/>
      <c r="T93" s="529">
        <v>0.9</v>
      </c>
      <c r="U93" s="291"/>
      <c r="V93" s="292"/>
    </row>
    <row r="94" spans="1:22" ht="15.75" customHeight="1">
      <c r="A94" s="805"/>
      <c r="B94" s="657"/>
      <c r="C94" s="799"/>
      <c r="D94" s="713"/>
      <c r="E94" s="793" t="s">
        <v>136</v>
      </c>
      <c r="F94" s="802"/>
      <c r="G94" s="547"/>
      <c r="H94" s="273" t="s">
        <v>184</v>
      </c>
      <c r="I94" s="119">
        <f>J94+L94</f>
        <v>0</v>
      </c>
      <c r="J94" s="120"/>
      <c r="K94" s="120"/>
      <c r="L94" s="121"/>
      <c r="M94" s="152">
        <f>N94+P94</f>
        <v>69</v>
      </c>
      <c r="N94" s="120"/>
      <c r="O94" s="120"/>
      <c r="P94" s="121">
        <v>69</v>
      </c>
      <c r="Q94" s="518">
        <f>R94+T94</f>
        <v>128.5</v>
      </c>
      <c r="R94" s="519"/>
      <c r="S94" s="519"/>
      <c r="T94" s="520">
        <f>69+59.5</f>
        <v>128.5</v>
      </c>
      <c r="U94" s="154"/>
      <c r="V94" s="155"/>
    </row>
    <row r="95" spans="1:22" ht="15.75" customHeight="1">
      <c r="A95" s="805"/>
      <c r="B95" s="657"/>
      <c r="C95" s="799"/>
      <c r="D95" s="713"/>
      <c r="E95" s="794"/>
      <c r="F95" s="802"/>
      <c r="G95" s="547"/>
      <c r="H95" s="293" t="s">
        <v>18</v>
      </c>
      <c r="I95" s="137">
        <f>J95+L95</f>
        <v>5834.9</v>
      </c>
      <c r="J95" s="140"/>
      <c r="K95" s="140"/>
      <c r="L95" s="141">
        <v>5834.9</v>
      </c>
      <c r="M95" s="294">
        <f>N95+P95</f>
        <v>9954</v>
      </c>
      <c r="N95" s="140"/>
      <c r="O95" s="140"/>
      <c r="P95" s="141">
        <v>9954</v>
      </c>
      <c r="Q95" s="408">
        <f>R95+T95</f>
        <v>9954</v>
      </c>
      <c r="R95" s="409"/>
      <c r="S95" s="409"/>
      <c r="T95" s="410">
        <v>9954</v>
      </c>
      <c r="U95" s="295"/>
      <c r="V95" s="296"/>
    </row>
    <row r="96" spans="1:22" ht="15.75" customHeight="1" thickBot="1">
      <c r="A96" s="806"/>
      <c r="B96" s="658"/>
      <c r="C96" s="800"/>
      <c r="D96" s="714"/>
      <c r="E96" s="795"/>
      <c r="F96" s="803"/>
      <c r="G96" s="548"/>
      <c r="H96" s="397" t="s">
        <v>20</v>
      </c>
      <c r="I96" s="398">
        <f t="shared" ref="I96:V96" si="29">SUM(I93:I95)</f>
        <v>5834.9</v>
      </c>
      <c r="J96" s="399">
        <f t="shared" si="29"/>
        <v>0</v>
      </c>
      <c r="K96" s="399">
        <f t="shared" si="29"/>
        <v>0</v>
      </c>
      <c r="L96" s="400">
        <f t="shared" si="29"/>
        <v>5834.9</v>
      </c>
      <c r="M96" s="398">
        <f t="shared" si="29"/>
        <v>10023</v>
      </c>
      <c r="N96" s="399">
        <f t="shared" si="29"/>
        <v>0</v>
      </c>
      <c r="O96" s="399">
        <f t="shared" si="29"/>
        <v>0</v>
      </c>
      <c r="P96" s="400">
        <f t="shared" si="29"/>
        <v>10023</v>
      </c>
      <c r="Q96" s="398">
        <f t="shared" si="29"/>
        <v>10083.4</v>
      </c>
      <c r="R96" s="399">
        <f t="shared" si="29"/>
        <v>0</v>
      </c>
      <c r="S96" s="399">
        <f t="shared" si="29"/>
        <v>0</v>
      </c>
      <c r="T96" s="400">
        <f>SUM(T93:T95)</f>
        <v>10083.4</v>
      </c>
      <c r="U96" s="401">
        <f t="shared" si="29"/>
        <v>0</v>
      </c>
      <c r="V96" s="402">
        <f t="shared" si="29"/>
        <v>0</v>
      </c>
    </row>
    <row r="97" spans="1:26" ht="15.75" customHeight="1">
      <c r="A97" s="549" t="s">
        <v>8</v>
      </c>
      <c r="B97" s="552" t="s">
        <v>9</v>
      </c>
      <c r="C97" s="555" t="s">
        <v>9</v>
      </c>
      <c r="D97" s="757" t="s">
        <v>226</v>
      </c>
      <c r="E97" s="543" t="s">
        <v>22</v>
      </c>
      <c r="F97" s="724" t="s">
        <v>12</v>
      </c>
      <c r="G97" s="701" t="s">
        <v>144</v>
      </c>
      <c r="H97" s="81" t="s">
        <v>11</v>
      </c>
      <c r="I97" s="113">
        <f>J97+L97</f>
        <v>0</v>
      </c>
      <c r="J97" s="146"/>
      <c r="K97" s="146"/>
      <c r="L97" s="147"/>
      <c r="M97" s="113">
        <f>N97+P97</f>
        <v>0</v>
      </c>
      <c r="N97" s="133"/>
      <c r="O97" s="133"/>
      <c r="P97" s="138"/>
      <c r="Q97" s="411">
        <f>R97+T97</f>
        <v>0</v>
      </c>
      <c r="R97" s="412"/>
      <c r="S97" s="412"/>
      <c r="T97" s="413"/>
      <c r="U97" s="118"/>
      <c r="V97" s="118"/>
    </row>
    <row r="98" spans="1:26" ht="15.75" customHeight="1">
      <c r="A98" s="550"/>
      <c r="B98" s="553"/>
      <c r="C98" s="556"/>
      <c r="D98" s="758"/>
      <c r="E98" s="788" t="s">
        <v>139</v>
      </c>
      <c r="F98" s="725"/>
      <c r="G98" s="702"/>
      <c r="H98" s="81" t="s">
        <v>53</v>
      </c>
      <c r="I98" s="119">
        <f>J98+L98</f>
        <v>0</v>
      </c>
      <c r="J98" s="120"/>
      <c r="K98" s="120"/>
      <c r="L98" s="121"/>
      <c r="M98" s="119">
        <f>N98+P98</f>
        <v>3000</v>
      </c>
      <c r="N98" s="133"/>
      <c r="O98" s="133"/>
      <c r="P98" s="138">
        <v>3000</v>
      </c>
      <c r="Q98" s="536">
        <f>R98+T98</f>
        <v>494</v>
      </c>
      <c r="R98" s="519"/>
      <c r="S98" s="519"/>
      <c r="T98" s="520">
        <f>3000-1700-667-29-110</f>
        <v>494</v>
      </c>
      <c r="U98" s="139">
        <v>6001.4</v>
      </c>
      <c r="V98" s="123"/>
    </row>
    <row r="99" spans="1:26" ht="15.75" customHeight="1" thickBot="1">
      <c r="A99" s="551"/>
      <c r="B99" s="554"/>
      <c r="C99" s="557"/>
      <c r="D99" s="759"/>
      <c r="E99" s="767"/>
      <c r="F99" s="726"/>
      <c r="G99" s="703"/>
      <c r="H99" s="391" t="s">
        <v>20</v>
      </c>
      <c r="I99" s="392">
        <f t="shared" ref="I99:V99" si="30">SUM(I97:I98)</f>
        <v>0</v>
      </c>
      <c r="J99" s="393">
        <f t="shared" si="30"/>
        <v>0</v>
      </c>
      <c r="K99" s="394">
        <f t="shared" si="30"/>
        <v>0</v>
      </c>
      <c r="L99" s="395">
        <f t="shared" si="30"/>
        <v>0</v>
      </c>
      <c r="M99" s="392">
        <f t="shared" si="30"/>
        <v>3000</v>
      </c>
      <c r="N99" s="393">
        <f t="shared" si="30"/>
        <v>0</v>
      </c>
      <c r="O99" s="394">
        <f t="shared" si="30"/>
        <v>0</v>
      </c>
      <c r="P99" s="395">
        <f t="shared" si="30"/>
        <v>3000</v>
      </c>
      <c r="Q99" s="392">
        <f t="shared" si="30"/>
        <v>494</v>
      </c>
      <c r="R99" s="393">
        <f t="shared" si="30"/>
        <v>0</v>
      </c>
      <c r="S99" s="394">
        <f t="shared" si="30"/>
        <v>0</v>
      </c>
      <c r="T99" s="395">
        <f t="shared" si="30"/>
        <v>494</v>
      </c>
      <c r="U99" s="396">
        <f t="shared" si="30"/>
        <v>6001.4</v>
      </c>
      <c r="V99" s="396">
        <f t="shared" si="30"/>
        <v>0</v>
      </c>
    </row>
    <row r="100" spans="1:26" ht="15.75" customHeight="1" thickBot="1">
      <c r="A100" s="25" t="s">
        <v>8</v>
      </c>
      <c r="B100" s="7" t="s">
        <v>9</v>
      </c>
      <c r="C100" s="590" t="s">
        <v>19</v>
      </c>
      <c r="D100" s="591"/>
      <c r="E100" s="591"/>
      <c r="F100" s="591"/>
      <c r="G100" s="591"/>
      <c r="H100" s="591"/>
      <c r="I100" s="158">
        <f>SUM(I99,I96)</f>
        <v>5834.9</v>
      </c>
      <c r="J100" s="335">
        <f t="shared" ref="J100:V100" si="31">SUM(J99,J96)</f>
        <v>0</v>
      </c>
      <c r="K100" s="335">
        <f t="shared" si="31"/>
        <v>0</v>
      </c>
      <c r="L100" s="336">
        <f t="shared" si="31"/>
        <v>5834.9</v>
      </c>
      <c r="M100" s="334">
        <f t="shared" si="31"/>
        <v>13023</v>
      </c>
      <c r="N100" s="335">
        <f t="shared" si="31"/>
        <v>0</v>
      </c>
      <c r="O100" s="335">
        <f t="shared" si="31"/>
        <v>0</v>
      </c>
      <c r="P100" s="337">
        <f t="shared" si="31"/>
        <v>13023</v>
      </c>
      <c r="Q100" s="158">
        <f t="shared" si="31"/>
        <v>10577.4</v>
      </c>
      <c r="R100" s="335">
        <f t="shared" si="31"/>
        <v>0</v>
      </c>
      <c r="S100" s="335">
        <f t="shared" si="31"/>
        <v>0</v>
      </c>
      <c r="T100" s="336">
        <f t="shared" si="31"/>
        <v>10577.4</v>
      </c>
      <c r="U100" s="334">
        <f t="shared" si="31"/>
        <v>6001.4</v>
      </c>
      <c r="V100" s="516">
        <f t="shared" si="31"/>
        <v>0</v>
      </c>
    </row>
    <row r="101" spans="1:26" ht="15.75" customHeight="1" thickBot="1">
      <c r="A101" s="6" t="s">
        <v>8</v>
      </c>
      <c r="B101" s="7" t="s">
        <v>10</v>
      </c>
      <c r="C101" s="661" t="s">
        <v>178</v>
      </c>
      <c r="D101" s="662"/>
      <c r="E101" s="662"/>
      <c r="F101" s="662"/>
      <c r="G101" s="662"/>
      <c r="H101" s="662"/>
      <c r="I101" s="663"/>
      <c r="J101" s="663"/>
      <c r="K101" s="663"/>
      <c r="L101" s="663"/>
      <c r="M101" s="663"/>
      <c r="N101" s="663"/>
      <c r="O101" s="663"/>
      <c r="P101" s="663"/>
      <c r="Q101" s="663"/>
      <c r="R101" s="663"/>
      <c r="S101" s="663"/>
      <c r="T101" s="663"/>
      <c r="U101" s="662"/>
      <c r="V101" s="664"/>
    </row>
    <row r="102" spans="1:26" ht="16.5" customHeight="1">
      <c r="A102" s="549" t="s">
        <v>8</v>
      </c>
      <c r="B102" s="552" t="s">
        <v>10</v>
      </c>
      <c r="C102" s="668" t="s">
        <v>8</v>
      </c>
      <c r="D102" s="270" t="s">
        <v>172</v>
      </c>
      <c r="E102" s="572"/>
      <c r="F102" s="487" t="s">
        <v>12</v>
      </c>
      <c r="G102" s="546" t="s">
        <v>145</v>
      </c>
      <c r="H102" s="284" t="s">
        <v>11</v>
      </c>
      <c r="I102" s="178">
        <f>J102+L102</f>
        <v>15811.5</v>
      </c>
      <c r="J102" s="156">
        <v>15811.5</v>
      </c>
      <c r="K102" s="156"/>
      <c r="L102" s="157"/>
      <c r="M102" s="178">
        <f>N102+P102</f>
        <v>22769</v>
      </c>
      <c r="N102" s="160">
        <v>22769</v>
      </c>
      <c r="O102" s="160"/>
      <c r="P102" s="255"/>
      <c r="Q102" s="521">
        <f>R102+T102</f>
        <v>17721.7</v>
      </c>
      <c r="R102" s="522">
        <v>17676.5</v>
      </c>
      <c r="S102" s="522"/>
      <c r="T102" s="526">
        <v>45.2</v>
      </c>
      <c r="U102" s="163">
        <v>16072.2</v>
      </c>
      <c r="V102" s="163">
        <v>16072.2</v>
      </c>
    </row>
    <row r="103" spans="1:26" ht="16.5" customHeight="1">
      <c r="A103" s="550"/>
      <c r="B103" s="553"/>
      <c r="C103" s="669"/>
      <c r="D103" s="542" t="s">
        <v>215</v>
      </c>
      <c r="E103" s="573"/>
      <c r="F103" s="488" t="s">
        <v>39</v>
      </c>
      <c r="G103" s="547"/>
      <c r="H103" s="273"/>
      <c r="I103" s="181"/>
      <c r="J103" s="190"/>
      <c r="K103" s="190"/>
      <c r="L103" s="191"/>
      <c r="M103" s="181"/>
      <c r="N103" s="187"/>
      <c r="O103" s="187"/>
      <c r="P103" s="188"/>
      <c r="Q103" s="367"/>
      <c r="R103" s="382"/>
      <c r="S103" s="382"/>
      <c r="T103" s="383"/>
      <c r="U103" s="180"/>
      <c r="V103" s="180"/>
    </row>
    <row r="104" spans="1:26" ht="16.5" customHeight="1">
      <c r="A104" s="550"/>
      <c r="B104" s="553"/>
      <c r="C104" s="669"/>
      <c r="D104" s="523" t="s">
        <v>216</v>
      </c>
      <c r="E104" s="573"/>
      <c r="F104" s="489" t="s">
        <v>16</v>
      </c>
      <c r="G104" s="547"/>
      <c r="H104" s="272"/>
      <c r="I104" s="181"/>
      <c r="J104" s="190"/>
      <c r="K104" s="190"/>
      <c r="L104" s="191"/>
      <c r="M104" s="181"/>
      <c r="N104" s="190"/>
      <c r="O104" s="190"/>
      <c r="P104" s="256"/>
      <c r="Q104" s="524"/>
      <c r="R104" s="525"/>
      <c r="S104" s="382"/>
      <c r="T104" s="383"/>
      <c r="U104" s="180"/>
      <c r="V104" s="180"/>
      <c r="Y104" s="89"/>
      <c r="Z104" s="89"/>
    </row>
    <row r="105" spans="1:26" ht="16.5" customHeight="1">
      <c r="A105" s="550"/>
      <c r="B105" s="553"/>
      <c r="C105" s="669"/>
      <c r="D105" s="523" t="s">
        <v>217</v>
      </c>
      <c r="E105" s="573"/>
      <c r="F105" s="489"/>
      <c r="G105" s="547"/>
      <c r="H105" s="279"/>
      <c r="I105" s="179"/>
      <c r="J105" s="179"/>
      <c r="K105" s="179"/>
      <c r="L105" s="166"/>
      <c r="M105" s="179"/>
      <c r="N105" s="179"/>
      <c r="O105" s="179"/>
      <c r="P105" s="194"/>
      <c r="Q105" s="415"/>
      <c r="R105" s="385"/>
      <c r="S105" s="385"/>
      <c r="T105" s="387"/>
      <c r="U105" s="167"/>
      <c r="V105" s="167"/>
    </row>
    <row r="106" spans="1:26" ht="27" customHeight="1">
      <c r="A106" s="550"/>
      <c r="B106" s="553"/>
      <c r="C106" s="669"/>
      <c r="D106" s="542" t="s">
        <v>218</v>
      </c>
      <c r="E106" s="573"/>
      <c r="F106" s="489"/>
      <c r="G106" s="547"/>
      <c r="H106" s="279"/>
      <c r="I106" s="179"/>
      <c r="J106" s="179"/>
      <c r="K106" s="179"/>
      <c r="L106" s="166"/>
      <c r="M106" s="179"/>
      <c r="N106" s="179"/>
      <c r="O106" s="179"/>
      <c r="P106" s="194"/>
      <c r="Q106" s="415"/>
      <c r="R106" s="385"/>
      <c r="S106" s="385"/>
      <c r="T106" s="387"/>
      <c r="U106" s="167"/>
      <c r="V106" s="167"/>
    </row>
    <row r="107" spans="1:26" ht="15.75" customHeight="1">
      <c r="A107" s="550"/>
      <c r="B107" s="553"/>
      <c r="C107" s="669"/>
      <c r="D107" s="281" t="s">
        <v>182</v>
      </c>
      <c r="E107" s="573"/>
      <c r="F107" s="489"/>
      <c r="G107" s="547"/>
      <c r="H107" s="279"/>
      <c r="I107" s="179"/>
      <c r="J107" s="179"/>
      <c r="K107" s="179"/>
      <c r="L107" s="166"/>
      <c r="M107" s="179"/>
      <c r="N107" s="179"/>
      <c r="O107" s="179"/>
      <c r="P107" s="257"/>
      <c r="Q107" s="415"/>
      <c r="R107" s="385"/>
      <c r="S107" s="385"/>
      <c r="T107" s="416"/>
      <c r="U107" s="167"/>
      <c r="V107" s="167"/>
    </row>
    <row r="108" spans="1:26" ht="15.75" customHeight="1" thickBot="1">
      <c r="A108" s="551"/>
      <c r="B108" s="554"/>
      <c r="C108" s="670"/>
      <c r="D108" s="545"/>
      <c r="E108" s="574"/>
      <c r="F108" s="490"/>
      <c r="G108" s="548"/>
      <c r="H108" s="350" t="s">
        <v>20</v>
      </c>
      <c r="I108" s="357">
        <f>SUM(I102:I107)</f>
        <v>15811.5</v>
      </c>
      <c r="J108" s="359">
        <f t="shared" ref="J108:V108" si="32">SUM(J102:J107)</f>
        <v>15811.5</v>
      </c>
      <c r="K108" s="359">
        <f t="shared" si="32"/>
        <v>0</v>
      </c>
      <c r="L108" s="374">
        <f t="shared" si="32"/>
        <v>0</v>
      </c>
      <c r="M108" s="357">
        <f t="shared" si="32"/>
        <v>22769</v>
      </c>
      <c r="N108" s="359">
        <f t="shared" si="32"/>
        <v>22769</v>
      </c>
      <c r="O108" s="359">
        <f t="shared" si="32"/>
        <v>0</v>
      </c>
      <c r="P108" s="374">
        <f t="shared" si="32"/>
        <v>0</v>
      </c>
      <c r="Q108" s="357">
        <f t="shared" si="32"/>
        <v>17721.7</v>
      </c>
      <c r="R108" s="359">
        <f t="shared" si="32"/>
        <v>17676.5</v>
      </c>
      <c r="S108" s="359">
        <f t="shared" si="32"/>
        <v>0</v>
      </c>
      <c r="T108" s="374">
        <f t="shared" si="32"/>
        <v>45.2</v>
      </c>
      <c r="U108" s="357">
        <f t="shared" si="32"/>
        <v>16072.2</v>
      </c>
      <c r="V108" s="362">
        <f t="shared" si="32"/>
        <v>16072.2</v>
      </c>
    </row>
    <row r="109" spans="1:26" ht="15.75" customHeight="1">
      <c r="A109" s="549" t="s">
        <v>8</v>
      </c>
      <c r="B109" s="552" t="s">
        <v>10</v>
      </c>
      <c r="C109" s="585" t="s">
        <v>9</v>
      </c>
      <c r="D109" s="715" t="s">
        <v>54</v>
      </c>
      <c r="E109" s="672" t="s">
        <v>22</v>
      </c>
      <c r="F109" s="602" t="s">
        <v>12</v>
      </c>
      <c r="G109" s="665" t="s">
        <v>144</v>
      </c>
      <c r="H109" s="278" t="s">
        <v>11</v>
      </c>
      <c r="I109" s="178">
        <f>J109+L109</f>
        <v>0</v>
      </c>
      <c r="J109" s="156"/>
      <c r="K109" s="156"/>
      <c r="L109" s="157"/>
      <c r="M109" s="178">
        <f>N109+P109</f>
        <v>0</v>
      </c>
      <c r="N109" s="156"/>
      <c r="O109" s="156"/>
      <c r="P109" s="193"/>
      <c r="Q109" s="364">
        <f>R109+T109</f>
        <v>0</v>
      </c>
      <c r="R109" s="365"/>
      <c r="S109" s="365"/>
      <c r="T109" s="366"/>
      <c r="U109" s="163"/>
      <c r="V109" s="163"/>
    </row>
    <row r="110" spans="1:26" ht="15.75" customHeight="1">
      <c r="A110" s="550"/>
      <c r="B110" s="553"/>
      <c r="C110" s="586"/>
      <c r="D110" s="716"/>
      <c r="E110" s="673"/>
      <c r="F110" s="603"/>
      <c r="G110" s="666"/>
      <c r="H110" s="272" t="s">
        <v>18</v>
      </c>
      <c r="I110" s="179">
        <f>J110+L110</f>
        <v>0</v>
      </c>
      <c r="J110" s="165"/>
      <c r="K110" s="165"/>
      <c r="L110" s="166"/>
      <c r="M110" s="179">
        <f>N110+P110</f>
        <v>7875</v>
      </c>
      <c r="N110" s="165"/>
      <c r="O110" s="165"/>
      <c r="P110" s="194">
        <v>7875</v>
      </c>
      <c r="Q110" s="415">
        <f>R110+T110</f>
        <v>7875</v>
      </c>
      <c r="R110" s="386"/>
      <c r="S110" s="386"/>
      <c r="T110" s="387">
        <v>7875</v>
      </c>
      <c r="U110" s="167"/>
      <c r="V110" s="167"/>
    </row>
    <row r="111" spans="1:26" ht="15.75" customHeight="1">
      <c r="A111" s="550"/>
      <c r="B111" s="553"/>
      <c r="C111" s="586"/>
      <c r="D111" s="716"/>
      <c r="E111" s="673"/>
      <c r="F111" s="603"/>
      <c r="G111" s="666"/>
      <c r="H111" s="276" t="s">
        <v>30</v>
      </c>
      <c r="I111" s="181">
        <f>J111+L111</f>
        <v>0</v>
      </c>
      <c r="J111" s="190"/>
      <c r="K111" s="190"/>
      <c r="L111" s="191"/>
      <c r="M111" s="181">
        <f>N111+P111</f>
        <v>3289.7</v>
      </c>
      <c r="N111" s="190"/>
      <c r="O111" s="190"/>
      <c r="P111" s="256">
        <v>3289.7</v>
      </c>
      <c r="Q111" s="367">
        <f>R111+T111</f>
        <v>3289.7</v>
      </c>
      <c r="R111" s="382"/>
      <c r="S111" s="382"/>
      <c r="T111" s="383">
        <v>3289.7</v>
      </c>
      <c r="U111" s="180"/>
      <c r="V111" s="180"/>
    </row>
    <row r="112" spans="1:26" ht="15.75" customHeight="1" thickBot="1">
      <c r="A112" s="551"/>
      <c r="B112" s="554"/>
      <c r="C112" s="587"/>
      <c r="D112" s="717"/>
      <c r="E112" s="674"/>
      <c r="F112" s="604"/>
      <c r="G112" s="667"/>
      <c r="H112" s="350" t="s">
        <v>20</v>
      </c>
      <c r="I112" s="351">
        <f t="shared" ref="I112:V112" si="33">SUM(I109:I111)</f>
        <v>0</v>
      </c>
      <c r="J112" s="389">
        <f t="shared" si="33"/>
        <v>0</v>
      </c>
      <c r="K112" s="389">
        <f t="shared" si="33"/>
        <v>0</v>
      </c>
      <c r="L112" s="353">
        <f t="shared" si="33"/>
        <v>0</v>
      </c>
      <c r="M112" s="351">
        <f t="shared" si="33"/>
        <v>11164.7</v>
      </c>
      <c r="N112" s="389">
        <f t="shared" si="33"/>
        <v>0</v>
      </c>
      <c r="O112" s="389">
        <f t="shared" si="33"/>
        <v>0</v>
      </c>
      <c r="P112" s="390">
        <f t="shared" si="33"/>
        <v>11164.7</v>
      </c>
      <c r="Q112" s="351">
        <f t="shared" si="33"/>
        <v>11164.7</v>
      </c>
      <c r="R112" s="389">
        <f t="shared" si="33"/>
        <v>0</v>
      </c>
      <c r="S112" s="389">
        <f t="shared" si="33"/>
        <v>0</v>
      </c>
      <c r="T112" s="353">
        <f t="shared" si="33"/>
        <v>11164.7</v>
      </c>
      <c r="U112" s="362">
        <f t="shared" si="33"/>
        <v>0</v>
      </c>
      <c r="V112" s="362">
        <f t="shared" si="33"/>
        <v>0</v>
      </c>
    </row>
    <row r="113" spans="1:22" ht="15.75" customHeight="1" thickBot="1">
      <c r="A113" s="6" t="s">
        <v>8</v>
      </c>
      <c r="B113" s="7" t="s">
        <v>10</v>
      </c>
      <c r="C113" s="590" t="s">
        <v>19</v>
      </c>
      <c r="D113" s="591"/>
      <c r="E113" s="591"/>
      <c r="F113" s="591"/>
      <c r="G113" s="591"/>
      <c r="H113" s="591"/>
      <c r="I113" s="264">
        <f>SUM(I112,I108)</f>
        <v>15811.5</v>
      </c>
      <c r="J113" s="331">
        <f t="shared" ref="J113:V113" si="34">SUM(J112,J108)</f>
        <v>15811.5</v>
      </c>
      <c r="K113" s="331">
        <f t="shared" si="34"/>
        <v>0</v>
      </c>
      <c r="L113" s="333">
        <f t="shared" si="34"/>
        <v>0</v>
      </c>
      <c r="M113" s="264">
        <f t="shared" si="34"/>
        <v>33933.699999999997</v>
      </c>
      <c r="N113" s="331">
        <f t="shared" si="34"/>
        <v>22769</v>
      </c>
      <c r="O113" s="331">
        <f t="shared" si="34"/>
        <v>0</v>
      </c>
      <c r="P113" s="333">
        <f t="shared" si="34"/>
        <v>11164.7</v>
      </c>
      <c r="Q113" s="264">
        <f t="shared" si="34"/>
        <v>28886.400000000001</v>
      </c>
      <c r="R113" s="331">
        <f t="shared" si="34"/>
        <v>17676.5</v>
      </c>
      <c r="S113" s="331">
        <f t="shared" si="34"/>
        <v>0</v>
      </c>
      <c r="T113" s="332">
        <f t="shared" si="34"/>
        <v>11209.900000000001</v>
      </c>
      <c r="U113" s="330">
        <f t="shared" si="34"/>
        <v>16072.2</v>
      </c>
      <c r="V113" s="264">
        <f t="shared" si="34"/>
        <v>16072.2</v>
      </c>
    </row>
    <row r="114" spans="1:22" ht="15.75" customHeight="1" thickBot="1">
      <c r="A114" s="6" t="s">
        <v>8</v>
      </c>
      <c r="B114" s="7" t="s">
        <v>12</v>
      </c>
      <c r="C114" s="661" t="s">
        <v>179</v>
      </c>
      <c r="D114" s="662"/>
      <c r="E114" s="662"/>
      <c r="F114" s="662"/>
      <c r="G114" s="662"/>
      <c r="H114" s="662"/>
      <c r="I114" s="663"/>
      <c r="J114" s="663"/>
      <c r="K114" s="663"/>
      <c r="L114" s="663"/>
      <c r="M114" s="663"/>
      <c r="N114" s="663"/>
      <c r="O114" s="663"/>
      <c r="P114" s="663"/>
      <c r="Q114" s="663"/>
      <c r="R114" s="663"/>
      <c r="S114" s="663"/>
      <c r="T114" s="663"/>
      <c r="U114" s="662"/>
      <c r="V114" s="664"/>
    </row>
    <row r="115" spans="1:22" ht="15.75" customHeight="1">
      <c r="A115" s="549" t="s">
        <v>8</v>
      </c>
      <c r="B115" s="552" t="s">
        <v>12</v>
      </c>
      <c r="C115" s="555" t="s">
        <v>8</v>
      </c>
      <c r="D115" s="566" t="s">
        <v>180</v>
      </c>
      <c r="E115" s="572"/>
      <c r="F115" s="563" t="s">
        <v>12</v>
      </c>
      <c r="G115" s="546" t="s">
        <v>145</v>
      </c>
      <c r="H115" s="275" t="s">
        <v>11</v>
      </c>
      <c r="I115" s="159">
        <f>J115+L115</f>
        <v>212.4</v>
      </c>
      <c r="J115" s="156">
        <v>212.4</v>
      </c>
      <c r="K115" s="193"/>
      <c r="L115" s="157"/>
      <c r="M115" s="178">
        <f>N115+P115</f>
        <v>917.7</v>
      </c>
      <c r="N115" s="156">
        <f>324.4+253.3</f>
        <v>577.70000000000005</v>
      </c>
      <c r="O115" s="156"/>
      <c r="P115" s="157">
        <v>340</v>
      </c>
      <c r="Q115" s="384">
        <f>R115+T115</f>
        <v>46.199999999999989</v>
      </c>
      <c r="R115" s="365">
        <f>191.2-145</f>
        <v>46.199999999999989</v>
      </c>
      <c r="S115" s="371"/>
      <c r="T115" s="366"/>
      <c r="U115" s="347">
        <v>191.2</v>
      </c>
      <c r="V115" s="183">
        <v>191.2</v>
      </c>
    </row>
    <row r="116" spans="1:22" ht="15.75" customHeight="1">
      <c r="A116" s="550"/>
      <c r="B116" s="553"/>
      <c r="C116" s="556"/>
      <c r="D116" s="567"/>
      <c r="E116" s="573"/>
      <c r="F116" s="564"/>
      <c r="G116" s="547"/>
      <c r="H116" s="109" t="s">
        <v>53</v>
      </c>
      <c r="I116" s="175">
        <f>J116+L116</f>
        <v>642.70000000000005</v>
      </c>
      <c r="J116" s="173">
        <v>642.70000000000005</v>
      </c>
      <c r="K116" s="173"/>
      <c r="L116" s="174"/>
      <c r="M116" s="175">
        <f>N116+P116</f>
        <v>1100</v>
      </c>
      <c r="N116" s="173">
        <v>1100</v>
      </c>
      <c r="O116" s="173"/>
      <c r="P116" s="174"/>
      <c r="Q116" s="539">
        <f>R116+T116</f>
        <v>688.2</v>
      </c>
      <c r="R116" s="540">
        <f>528.4+142.8+47-30</f>
        <v>688.2</v>
      </c>
      <c r="S116" s="368"/>
      <c r="T116" s="369"/>
      <c r="U116" s="266">
        <v>601.5</v>
      </c>
      <c r="V116" s="177">
        <v>601.5</v>
      </c>
    </row>
    <row r="117" spans="1:22" ht="15.75" customHeight="1" thickBot="1">
      <c r="A117" s="551"/>
      <c r="B117" s="554"/>
      <c r="C117" s="557"/>
      <c r="D117" s="568"/>
      <c r="E117" s="574"/>
      <c r="F117" s="565"/>
      <c r="G117" s="548"/>
      <c r="H117" s="356" t="s">
        <v>20</v>
      </c>
      <c r="I117" s="357">
        <f t="shared" ref="I117:V117" si="35">SUM(I115:I116)</f>
        <v>855.1</v>
      </c>
      <c r="J117" s="374">
        <f t="shared" si="35"/>
        <v>855.1</v>
      </c>
      <c r="K117" s="374">
        <f t="shared" si="35"/>
        <v>0</v>
      </c>
      <c r="L117" s="360">
        <f t="shared" si="35"/>
        <v>0</v>
      </c>
      <c r="M117" s="357">
        <f t="shared" si="35"/>
        <v>2017.7</v>
      </c>
      <c r="N117" s="374">
        <f t="shared" si="35"/>
        <v>1677.7</v>
      </c>
      <c r="O117" s="374">
        <f t="shared" si="35"/>
        <v>0</v>
      </c>
      <c r="P117" s="360">
        <f t="shared" si="35"/>
        <v>340</v>
      </c>
      <c r="Q117" s="357">
        <f t="shared" si="35"/>
        <v>734.40000000000009</v>
      </c>
      <c r="R117" s="374">
        <f t="shared" si="35"/>
        <v>734.40000000000009</v>
      </c>
      <c r="S117" s="374">
        <f t="shared" si="35"/>
        <v>0</v>
      </c>
      <c r="T117" s="360">
        <f t="shared" si="35"/>
        <v>0</v>
      </c>
      <c r="U117" s="358">
        <f t="shared" si="35"/>
        <v>792.7</v>
      </c>
      <c r="V117" s="362">
        <f t="shared" si="35"/>
        <v>792.7</v>
      </c>
    </row>
    <row r="118" spans="1:22" ht="15.75" customHeight="1">
      <c r="A118" s="3" t="s">
        <v>8</v>
      </c>
      <c r="B118" s="552" t="s">
        <v>12</v>
      </c>
      <c r="C118" s="555" t="s">
        <v>9</v>
      </c>
      <c r="D118" s="566" t="s">
        <v>177</v>
      </c>
      <c r="E118" s="706" t="s">
        <v>135</v>
      </c>
      <c r="F118" s="563" t="s">
        <v>12</v>
      </c>
      <c r="G118" s="546" t="s">
        <v>145</v>
      </c>
      <c r="H118" s="285" t="s">
        <v>11</v>
      </c>
      <c r="I118" s="168">
        <f>J118+L118</f>
        <v>1514.3</v>
      </c>
      <c r="J118" s="169">
        <v>1514.3</v>
      </c>
      <c r="K118" s="169"/>
      <c r="L118" s="170"/>
      <c r="M118" s="168">
        <f>N118+P118</f>
        <v>1374.3</v>
      </c>
      <c r="N118" s="169">
        <v>1374.3</v>
      </c>
      <c r="O118" s="169"/>
      <c r="P118" s="170"/>
      <c r="Q118" s="377">
        <f>R118+T118</f>
        <v>1374.3</v>
      </c>
      <c r="R118" s="378">
        <v>1374.3</v>
      </c>
      <c r="S118" s="378"/>
      <c r="T118" s="379"/>
      <c r="U118" s="265">
        <v>1374.3</v>
      </c>
      <c r="V118" s="171">
        <v>1374.3</v>
      </c>
    </row>
    <row r="119" spans="1:22" ht="15.75" customHeight="1">
      <c r="A119" s="3"/>
      <c r="B119" s="553"/>
      <c r="C119" s="556"/>
      <c r="D119" s="567"/>
      <c r="E119" s="707"/>
      <c r="F119" s="564"/>
      <c r="G119" s="547"/>
      <c r="H119" s="277"/>
      <c r="I119" s="172"/>
      <c r="J119" s="173"/>
      <c r="K119" s="173"/>
      <c r="L119" s="174"/>
      <c r="M119" s="175"/>
      <c r="N119" s="173"/>
      <c r="O119" s="173"/>
      <c r="P119" s="174"/>
      <c r="Q119" s="370"/>
      <c r="R119" s="368"/>
      <c r="S119" s="368"/>
      <c r="T119" s="369"/>
      <c r="U119" s="266"/>
      <c r="V119" s="177"/>
    </row>
    <row r="120" spans="1:22" ht="15.75" customHeight="1" thickBot="1">
      <c r="A120" s="4"/>
      <c r="B120" s="554"/>
      <c r="C120" s="557"/>
      <c r="D120" s="568"/>
      <c r="E120" s="708"/>
      <c r="F120" s="565"/>
      <c r="G120" s="548"/>
      <c r="H120" s="350" t="s">
        <v>20</v>
      </c>
      <c r="I120" s="375">
        <f t="shared" ref="I120:V120" si="36">SUM(I118:I119)</f>
        <v>1514.3</v>
      </c>
      <c r="J120" s="359">
        <f t="shared" si="36"/>
        <v>1514.3</v>
      </c>
      <c r="K120" s="359">
        <f t="shared" si="36"/>
        <v>0</v>
      </c>
      <c r="L120" s="374">
        <f t="shared" si="36"/>
        <v>0</v>
      </c>
      <c r="M120" s="375">
        <f t="shared" si="36"/>
        <v>1374.3</v>
      </c>
      <c r="N120" s="359">
        <f t="shared" si="36"/>
        <v>1374.3</v>
      </c>
      <c r="O120" s="359">
        <f t="shared" si="36"/>
        <v>0</v>
      </c>
      <c r="P120" s="374">
        <f t="shared" si="36"/>
        <v>0</v>
      </c>
      <c r="Q120" s="375">
        <f t="shared" si="36"/>
        <v>1374.3</v>
      </c>
      <c r="R120" s="359">
        <f t="shared" si="36"/>
        <v>1374.3</v>
      </c>
      <c r="S120" s="359">
        <f t="shared" si="36"/>
        <v>0</v>
      </c>
      <c r="T120" s="374">
        <f t="shared" si="36"/>
        <v>0</v>
      </c>
      <c r="U120" s="375">
        <f t="shared" si="36"/>
        <v>1374.3</v>
      </c>
      <c r="V120" s="362">
        <f t="shared" si="36"/>
        <v>1374.3</v>
      </c>
    </row>
    <row r="121" spans="1:22" ht="15.75" customHeight="1">
      <c r="A121" s="549" t="s">
        <v>8</v>
      </c>
      <c r="B121" s="552" t="s">
        <v>12</v>
      </c>
      <c r="C121" s="555" t="s">
        <v>10</v>
      </c>
      <c r="D121" s="569" t="s">
        <v>187</v>
      </c>
      <c r="E121" s="561" t="s">
        <v>135</v>
      </c>
      <c r="F121" s="563" t="s">
        <v>12</v>
      </c>
      <c r="G121" s="546" t="s">
        <v>144</v>
      </c>
      <c r="H121" s="274" t="s">
        <v>11</v>
      </c>
      <c r="I121" s="159">
        <f>J121+L121</f>
        <v>0</v>
      </c>
      <c r="J121" s="182"/>
      <c r="K121" s="182"/>
      <c r="L121" s="186"/>
      <c r="M121" s="159">
        <f>N121+P121</f>
        <v>0</v>
      </c>
      <c r="N121" s="187"/>
      <c r="O121" s="187"/>
      <c r="P121" s="188"/>
      <c r="Q121" s="364">
        <f>R121+T121</f>
        <v>0</v>
      </c>
      <c r="R121" s="380"/>
      <c r="S121" s="380"/>
      <c r="T121" s="381"/>
      <c r="U121" s="267"/>
      <c r="V121" s="189"/>
    </row>
    <row r="122" spans="1:22" ht="15.75" customHeight="1">
      <c r="A122" s="550"/>
      <c r="B122" s="553"/>
      <c r="C122" s="556"/>
      <c r="D122" s="570"/>
      <c r="E122" s="562"/>
      <c r="F122" s="564"/>
      <c r="G122" s="547"/>
      <c r="H122" s="286" t="s">
        <v>30</v>
      </c>
      <c r="I122" s="164">
        <f>J122+L122</f>
        <v>0</v>
      </c>
      <c r="J122" s="190"/>
      <c r="K122" s="190"/>
      <c r="L122" s="191"/>
      <c r="M122" s="164">
        <f>N122+P122</f>
        <v>100</v>
      </c>
      <c r="N122" s="187"/>
      <c r="O122" s="187"/>
      <c r="P122" s="188">
        <v>100</v>
      </c>
      <c r="Q122" s="367">
        <f>R122+T122</f>
        <v>100</v>
      </c>
      <c r="R122" s="382"/>
      <c r="S122" s="382"/>
      <c r="T122" s="383">
        <v>100</v>
      </c>
      <c r="U122" s="268">
        <v>70</v>
      </c>
      <c r="V122" s="192"/>
    </row>
    <row r="123" spans="1:22" ht="15.75" customHeight="1" thickBot="1">
      <c r="A123" s="551"/>
      <c r="B123" s="554"/>
      <c r="C123" s="557"/>
      <c r="D123" s="571"/>
      <c r="E123" s="482" t="s">
        <v>22</v>
      </c>
      <c r="F123" s="565"/>
      <c r="G123" s="548"/>
      <c r="H123" s="376" t="s">
        <v>20</v>
      </c>
      <c r="I123" s="357">
        <f t="shared" ref="I123:V123" si="37">SUM(I121:I122)</f>
        <v>0</v>
      </c>
      <c r="J123" s="358">
        <f t="shared" si="37"/>
        <v>0</v>
      </c>
      <c r="K123" s="359">
        <f t="shared" si="37"/>
        <v>0</v>
      </c>
      <c r="L123" s="360">
        <f t="shared" si="37"/>
        <v>0</v>
      </c>
      <c r="M123" s="357">
        <f t="shared" si="37"/>
        <v>100</v>
      </c>
      <c r="N123" s="358">
        <f t="shared" si="37"/>
        <v>0</v>
      </c>
      <c r="O123" s="359">
        <f t="shared" si="37"/>
        <v>0</v>
      </c>
      <c r="P123" s="360">
        <f t="shared" si="37"/>
        <v>100</v>
      </c>
      <c r="Q123" s="357">
        <f t="shared" si="37"/>
        <v>100</v>
      </c>
      <c r="R123" s="358">
        <f t="shared" si="37"/>
        <v>0</v>
      </c>
      <c r="S123" s="359">
        <f t="shared" si="37"/>
        <v>0</v>
      </c>
      <c r="T123" s="360">
        <f t="shared" si="37"/>
        <v>100</v>
      </c>
      <c r="U123" s="375">
        <f t="shared" si="37"/>
        <v>70</v>
      </c>
      <c r="V123" s="362">
        <f t="shared" si="37"/>
        <v>0</v>
      </c>
    </row>
    <row r="124" spans="1:22" ht="15.75" customHeight="1">
      <c r="A124" s="549" t="s">
        <v>8</v>
      </c>
      <c r="B124" s="552" t="s">
        <v>12</v>
      </c>
      <c r="C124" s="555" t="s">
        <v>12</v>
      </c>
      <c r="D124" s="558" t="s">
        <v>151</v>
      </c>
      <c r="E124" s="561" t="s">
        <v>135</v>
      </c>
      <c r="F124" s="563" t="s">
        <v>12</v>
      </c>
      <c r="G124" s="546" t="s">
        <v>144</v>
      </c>
      <c r="H124" s="274"/>
      <c r="I124" s="159">
        <f>J124+L124</f>
        <v>0</v>
      </c>
      <c r="J124" s="182"/>
      <c r="K124" s="182"/>
      <c r="L124" s="186"/>
      <c r="M124" s="159">
        <f>N124+P124</f>
        <v>0</v>
      </c>
      <c r="N124" s="187"/>
      <c r="O124" s="187"/>
      <c r="P124" s="188"/>
      <c r="Q124" s="364">
        <f>R124+T124</f>
        <v>0</v>
      </c>
      <c r="R124" s="380"/>
      <c r="S124" s="380"/>
      <c r="T124" s="381"/>
      <c r="U124" s="267"/>
      <c r="V124" s="189"/>
    </row>
    <row r="125" spans="1:22" ht="15.75" customHeight="1">
      <c r="A125" s="550"/>
      <c r="B125" s="553"/>
      <c r="C125" s="556"/>
      <c r="D125" s="559"/>
      <c r="E125" s="562"/>
      <c r="F125" s="564"/>
      <c r="G125" s="547"/>
      <c r="H125" s="286" t="s">
        <v>30</v>
      </c>
      <c r="I125" s="164">
        <f>J125+L125</f>
        <v>0</v>
      </c>
      <c r="J125" s="190"/>
      <c r="K125" s="190"/>
      <c r="L125" s="191"/>
      <c r="M125" s="164">
        <f>N125+P125</f>
        <v>0</v>
      </c>
      <c r="N125" s="187"/>
      <c r="O125" s="187"/>
      <c r="P125" s="188"/>
      <c r="Q125" s="367">
        <f>R125+T125</f>
        <v>0</v>
      </c>
      <c r="R125" s="382"/>
      <c r="S125" s="382"/>
      <c r="T125" s="383"/>
      <c r="U125" s="268"/>
      <c r="V125" s="192">
        <v>440</v>
      </c>
    </row>
    <row r="126" spans="1:22" ht="15.75" customHeight="1" thickBot="1">
      <c r="A126" s="551"/>
      <c r="B126" s="554"/>
      <c r="C126" s="557"/>
      <c r="D126" s="560"/>
      <c r="E126" s="482" t="s">
        <v>22</v>
      </c>
      <c r="F126" s="565"/>
      <c r="G126" s="548"/>
      <c r="H126" s="376" t="s">
        <v>20</v>
      </c>
      <c r="I126" s="357">
        <f t="shared" ref="I126:V126" si="38">SUM(I124:I125)</f>
        <v>0</v>
      </c>
      <c r="J126" s="358">
        <f t="shared" si="38"/>
        <v>0</v>
      </c>
      <c r="K126" s="359">
        <f t="shared" si="38"/>
        <v>0</v>
      </c>
      <c r="L126" s="360">
        <f t="shared" si="38"/>
        <v>0</v>
      </c>
      <c r="M126" s="357">
        <f t="shared" si="38"/>
        <v>0</v>
      </c>
      <c r="N126" s="358">
        <f t="shared" si="38"/>
        <v>0</v>
      </c>
      <c r="O126" s="359">
        <f t="shared" si="38"/>
        <v>0</v>
      </c>
      <c r="P126" s="360">
        <f t="shared" si="38"/>
        <v>0</v>
      </c>
      <c r="Q126" s="357">
        <f t="shared" si="38"/>
        <v>0</v>
      </c>
      <c r="R126" s="358">
        <f t="shared" si="38"/>
        <v>0</v>
      </c>
      <c r="S126" s="359">
        <f t="shared" si="38"/>
        <v>0</v>
      </c>
      <c r="T126" s="360">
        <f t="shared" si="38"/>
        <v>0</v>
      </c>
      <c r="U126" s="375">
        <f t="shared" si="38"/>
        <v>0</v>
      </c>
      <c r="V126" s="362">
        <f t="shared" si="38"/>
        <v>440</v>
      </c>
    </row>
    <row r="127" spans="1:22" ht="15.75" customHeight="1">
      <c r="A127" s="549" t="s">
        <v>8</v>
      </c>
      <c r="B127" s="552" t="s">
        <v>12</v>
      </c>
      <c r="C127" s="585" t="s">
        <v>38</v>
      </c>
      <c r="D127" s="485" t="s">
        <v>173</v>
      </c>
      <c r="E127" s="727" t="s">
        <v>134</v>
      </c>
      <c r="F127" s="602" t="s">
        <v>12</v>
      </c>
      <c r="G127" s="665" t="s">
        <v>144</v>
      </c>
      <c r="H127" s="278" t="s">
        <v>11</v>
      </c>
      <c r="I127" s="178">
        <f>J127+L127</f>
        <v>0</v>
      </c>
      <c r="J127" s="156"/>
      <c r="K127" s="156"/>
      <c r="L127" s="157"/>
      <c r="M127" s="178">
        <f>N127+P127</f>
        <v>101.3</v>
      </c>
      <c r="N127" s="156">
        <f>15+7.3+79</f>
        <v>101.3</v>
      </c>
      <c r="O127" s="156"/>
      <c r="P127" s="157"/>
      <c r="Q127" s="384">
        <f>R127+T127</f>
        <v>7.3</v>
      </c>
      <c r="R127" s="365">
        <v>7.3</v>
      </c>
      <c r="S127" s="365"/>
      <c r="T127" s="366"/>
      <c r="U127" s="325">
        <f>7.3+30.6</f>
        <v>37.9</v>
      </c>
      <c r="V127" s="298">
        <v>7.2</v>
      </c>
    </row>
    <row r="128" spans="1:22" ht="15.75" customHeight="1">
      <c r="A128" s="550"/>
      <c r="B128" s="553"/>
      <c r="C128" s="586"/>
      <c r="D128" s="475" t="s">
        <v>175</v>
      </c>
      <c r="E128" s="608"/>
      <c r="F128" s="603"/>
      <c r="G128" s="666"/>
      <c r="H128" s="272" t="s">
        <v>18</v>
      </c>
      <c r="I128" s="181">
        <f>J128+L128</f>
        <v>0</v>
      </c>
      <c r="J128" s="190"/>
      <c r="K128" s="190"/>
      <c r="L128" s="191"/>
      <c r="M128" s="181">
        <f>N128+P128</f>
        <v>250</v>
      </c>
      <c r="N128" s="190">
        <v>250</v>
      </c>
      <c r="O128" s="190"/>
      <c r="P128" s="191"/>
      <c r="Q128" s="388">
        <f>R128+T128</f>
        <v>250</v>
      </c>
      <c r="R128" s="382">
        <v>250</v>
      </c>
      <c r="S128" s="382"/>
      <c r="T128" s="383"/>
      <c r="U128" s="328">
        <f>250+275.4</f>
        <v>525.4</v>
      </c>
      <c r="V128" s="329">
        <v>102.3</v>
      </c>
    </row>
    <row r="129" spans="1:22" ht="15.75" customHeight="1">
      <c r="A129" s="550"/>
      <c r="B129" s="553"/>
      <c r="C129" s="586"/>
      <c r="D129" s="671" t="s">
        <v>174</v>
      </c>
      <c r="E129" s="608" t="s">
        <v>156</v>
      </c>
      <c r="F129" s="603"/>
      <c r="G129" s="666"/>
      <c r="H129" s="272" t="s">
        <v>53</v>
      </c>
      <c r="I129" s="181"/>
      <c r="J129" s="190"/>
      <c r="K129" s="190"/>
      <c r="L129" s="191"/>
      <c r="M129" s="181">
        <f>N129+P129</f>
        <v>71.900000000000006</v>
      </c>
      <c r="N129" s="190">
        <v>71.900000000000006</v>
      </c>
      <c r="O129" s="190"/>
      <c r="P129" s="191"/>
      <c r="Q129" s="388">
        <f>R129+T129</f>
        <v>0</v>
      </c>
      <c r="R129" s="382">
        <f>71.9-71.9</f>
        <v>0</v>
      </c>
      <c r="S129" s="382"/>
      <c r="T129" s="383"/>
      <c r="U129" s="328">
        <v>18</v>
      </c>
      <c r="V129" s="329">
        <v>10.9</v>
      </c>
    </row>
    <row r="130" spans="1:22" ht="15.75" customHeight="1">
      <c r="A130" s="550"/>
      <c r="B130" s="553"/>
      <c r="C130" s="586"/>
      <c r="D130" s="671"/>
      <c r="E130" s="608"/>
      <c r="F130" s="603"/>
      <c r="G130" s="666"/>
      <c r="H130" s="276"/>
      <c r="I130" s="179"/>
      <c r="J130" s="165"/>
      <c r="K130" s="165"/>
      <c r="L130" s="166"/>
      <c r="M130" s="179"/>
      <c r="N130" s="165"/>
      <c r="O130" s="165"/>
      <c r="P130" s="166"/>
      <c r="Q130" s="385"/>
      <c r="R130" s="386"/>
      <c r="S130" s="386"/>
      <c r="T130" s="387"/>
      <c r="U130" s="326"/>
      <c r="V130" s="327"/>
    </row>
    <row r="131" spans="1:22" ht="15" customHeight="1">
      <c r="A131" s="550"/>
      <c r="B131" s="553"/>
      <c r="C131" s="586"/>
      <c r="D131" s="704" t="s">
        <v>219</v>
      </c>
      <c r="E131" s="588"/>
      <c r="F131" s="603"/>
      <c r="G131" s="666"/>
      <c r="H131" s="272" t="s">
        <v>30</v>
      </c>
      <c r="I131" s="181">
        <f>J131+L131</f>
        <v>0</v>
      </c>
      <c r="J131" s="190"/>
      <c r="K131" s="190"/>
      <c r="L131" s="191"/>
      <c r="M131" s="181">
        <f>N131+P131</f>
        <v>36.799999999999997</v>
      </c>
      <c r="N131" s="190">
        <v>36.799999999999997</v>
      </c>
      <c r="O131" s="190"/>
      <c r="P131" s="191"/>
      <c r="Q131" s="388">
        <f>R131+T131</f>
        <v>36.799999999999997</v>
      </c>
      <c r="R131" s="382">
        <v>36.799999999999997</v>
      </c>
      <c r="S131" s="382"/>
      <c r="T131" s="383"/>
      <c r="U131" s="328">
        <v>36.799999999999997</v>
      </c>
      <c r="V131" s="329"/>
    </row>
    <row r="132" spans="1:22" ht="15.75" customHeight="1" thickBot="1">
      <c r="A132" s="551"/>
      <c r="B132" s="554"/>
      <c r="C132" s="587"/>
      <c r="D132" s="705"/>
      <c r="E132" s="589"/>
      <c r="F132" s="604"/>
      <c r="G132" s="667"/>
      <c r="H132" s="350" t="s">
        <v>20</v>
      </c>
      <c r="I132" s="357">
        <f t="shared" ref="I132:V132" si="39">SUM(I127:I131)</f>
        <v>0</v>
      </c>
      <c r="J132" s="374">
        <f t="shared" si="39"/>
        <v>0</v>
      </c>
      <c r="K132" s="374">
        <f t="shared" si="39"/>
        <v>0</v>
      </c>
      <c r="L132" s="360">
        <f t="shared" si="39"/>
        <v>0</v>
      </c>
      <c r="M132" s="357">
        <f t="shared" si="39"/>
        <v>460.00000000000006</v>
      </c>
      <c r="N132" s="374">
        <f t="shared" si="39"/>
        <v>460.00000000000006</v>
      </c>
      <c r="O132" s="374">
        <f t="shared" si="39"/>
        <v>0</v>
      </c>
      <c r="P132" s="360">
        <f t="shared" si="39"/>
        <v>0</v>
      </c>
      <c r="Q132" s="357">
        <f t="shared" si="39"/>
        <v>294.10000000000002</v>
      </c>
      <c r="R132" s="374">
        <f t="shared" si="39"/>
        <v>294.10000000000002</v>
      </c>
      <c r="S132" s="374">
        <f t="shared" si="39"/>
        <v>0</v>
      </c>
      <c r="T132" s="360">
        <f t="shared" si="39"/>
        <v>0</v>
      </c>
      <c r="U132" s="375">
        <f t="shared" si="39"/>
        <v>618.09999999999991</v>
      </c>
      <c r="V132" s="362">
        <f t="shared" si="39"/>
        <v>120.4</v>
      </c>
    </row>
    <row r="133" spans="1:22" ht="28.5" customHeight="1">
      <c r="A133" s="582" t="s">
        <v>8</v>
      </c>
      <c r="B133" s="656" t="s">
        <v>12</v>
      </c>
      <c r="C133" s="650" t="s">
        <v>13</v>
      </c>
      <c r="D133" s="605" t="s">
        <v>55</v>
      </c>
      <c r="E133" s="483"/>
      <c r="F133" s="653" t="s">
        <v>10</v>
      </c>
      <c r="G133" s="546" t="s">
        <v>181</v>
      </c>
      <c r="H133" s="287" t="s">
        <v>11</v>
      </c>
      <c r="I133" s="159">
        <f>J133+L133</f>
        <v>518.70000000000005</v>
      </c>
      <c r="J133" s="156">
        <v>518.70000000000005</v>
      </c>
      <c r="K133" s="156"/>
      <c r="L133" s="157"/>
      <c r="M133" s="159">
        <f>N133+P133</f>
        <v>437</v>
      </c>
      <c r="N133" s="156">
        <v>437</v>
      </c>
      <c r="O133" s="182"/>
      <c r="P133" s="157"/>
      <c r="Q133" s="370">
        <f>R133+T133</f>
        <v>233.3</v>
      </c>
      <c r="R133" s="368">
        <v>233.3</v>
      </c>
      <c r="S133" s="368"/>
      <c r="T133" s="369"/>
      <c r="U133" s="269">
        <v>233</v>
      </c>
      <c r="V133" s="177">
        <v>233</v>
      </c>
    </row>
    <row r="134" spans="1:22" ht="16.5" customHeight="1">
      <c r="A134" s="583"/>
      <c r="B134" s="657"/>
      <c r="C134" s="651"/>
      <c r="D134" s="606"/>
      <c r="E134" s="659" t="s">
        <v>133</v>
      </c>
      <c r="F134" s="654"/>
      <c r="G134" s="547"/>
      <c r="H134" s="288"/>
      <c r="I134" s="164">
        <f>J134+L134</f>
        <v>0</v>
      </c>
      <c r="J134" s="165"/>
      <c r="K134" s="165"/>
      <c r="L134" s="166"/>
      <c r="M134" s="164">
        <f>N134+P134</f>
        <v>0</v>
      </c>
      <c r="N134" s="165"/>
      <c r="O134" s="184"/>
      <c r="P134" s="166"/>
      <c r="Q134" s="367">
        <f>R134+T134</f>
        <v>0</v>
      </c>
      <c r="R134" s="386"/>
      <c r="S134" s="386"/>
      <c r="T134" s="387"/>
      <c r="U134" s="257"/>
      <c r="V134" s="185"/>
    </row>
    <row r="135" spans="1:22" ht="24" customHeight="1" thickBot="1">
      <c r="A135" s="584"/>
      <c r="B135" s="658"/>
      <c r="C135" s="652"/>
      <c r="D135" s="607"/>
      <c r="E135" s="660"/>
      <c r="F135" s="655"/>
      <c r="G135" s="548"/>
      <c r="H135" s="373" t="s">
        <v>20</v>
      </c>
      <c r="I135" s="351">
        <f t="shared" ref="I135:V135" si="40">SUM(I133:I134)</f>
        <v>518.70000000000005</v>
      </c>
      <c r="J135" s="349">
        <f t="shared" si="40"/>
        <v>518.70000000000005</v>
      </c>
      <c r="K135" s="352">
        <f t="shared" si="40"/>
        <v>0</v>
      </c>
      <c r="L135" s="353">
        <f t="shared" si="40"/>
        <v>0</v>
      </c>
      <c r="M135" s="351">
        <f t="shared" si="40"/>
        <v>437</v>
      </c>
      <c r="N135" s="349">
        <f t="shared" si="40"/>
        <v>437</v>
      </c>
      <c r="O135" s="352">
        <f t="shared" si="40"/>
        <v>0</v>
      </c>
      <c r="P135" s="353">
        <f t="shared" si="40"/>
        <v>0</v>
      </c>
      <c r="Q135" s="351">
        <f t="shared" si="40"/>
        <v>233.3</v>
      </c>
      <c r="R135" s="349">
        <f t="shared" si="40"/>
        <v>233.3</v>
      </c>
      <c r="S135" s="352">
        <f t="shared" si="40"/>
        <v>0</v>
      </c>
      <c r="T135" s="353">
        <f t="shared" si="40"/>
        <v>0</v>
      </c>
      <c r="U135" s="358">
        <f t="shared" si="40"/>
        <v>233</v>
      </c>
      <c r="V135" s="362">
        <f t="shared" si="40"/>
        <v>233</v>
      </c>
    </row>
    <row r="136" spans="1:22" ht="15.75" customHeight="1" thickBot="1">
      <c r="A136" s="6" t="s">
        <v>8</v>
      </c>
      <c r="B136" s="7" t="s">
        <v>12</v>
      </c>
      <c r="C136" s="590" t="s">
        <v>19</v>
      </c>
      <c r="D136" s="591"/>
      <c r="E136" s="591"/>
      <c r="F136" s="591"/>
      <c r="G136" s="591"/>
      <c r="H136" s="591"/>
      <c r="I136" s="264">
        <f>SUM(I135,I132,I126,I123,I120,I117)</f>
        <v>2888.1</v>
      </c>
      <c r="J136" s="331">
        <f t="shared" ref="J136:V136" si="41">SUM(J135,J132,J126,J123,J120,J117)</f>
        <v>2888.1</v>
      </c>
      <c r="K136" s="331">
        <f t="shared" si="41"/>
        <v>0</v>
      </c>
      <c r="L136" s="330">
        <f t="shared" si="41"/>
        <v>0</v>
      </c>
      <c r="M136" s="264">
        <f t="shared" si="41"/>
        <v>4389</v>
      </c>
      <c r="N136" s="331">
        <f t="shared" si="41"/>
        <v>3949</v>
      </c>
      <c r="O136" s="331">
        <f t="shared" si="41"/>
        <v>0</v>
      </c>
      <c r="P136" s="330">
        <f t="shared" si="41"/>
        <v>440</v>
      </c>
      <c r="Q136" s="264">
        <f t="shared" si="41"/>
        <v>2736.1000000000004</v>
      </c>
      <c r="R136" s="331">
        <f t="shared" si="41"/>
        <v>2636.1000000000004</v>
      </c>
      <c r="S136" s="331">
        <f t="shared" si="41"/>
        <v>0</v>
      </c>
      <c r="T136" s="330">
        <f t="shared" si="41"/>
        <v>100</v>
      </c>
      <c r="U136" s="264">
        <f t="shared" si="41"/>
        <v>3088.0999999999995</v>
      </c>
      <c r="V136" s="264">
        <f t="shared" si="41"/>
        <v>2960.3999999999996</v>
      </c>
    </row>
    <row r="137" spans="1:22" ht="15.75" customHeight="1" thickBot="1">
      <c r="A137" s="4" t="s">
        <v>8</v>
      </c>
      <c r="B137" s="5" t="s">
        <v>38</v>
      </c>
      <c r="C137" s="609" t="s">
        <v>29</v>
      </c>
      <c r="D137" s="610"/>
      <c r="E137" s="610"/>
      <c r="F137" s="610"/>
      <c r="G137" s="610"/>
      <c r="H137" s="610"/>
      <c r="I137" s="611"/>
      <c r="J137" s="611"/>
      <c r="K137" s="611"/>
      <c r="L137" s="611"/>
      <c r="M137" s="611"/>
      <c r="N137" s="611"/>
      <c r="O137" s="611"/>
      <c r="P137" s="611"/>
      <c r="Q137" s="611"/>
      <c r="R137" s="8"/>
      <c r="S137" s="8"/>
      <c r="T137" s="8"/>
      <c r="U137" s="8"/>
      <c r="V137" s="112"/>
    </row>
    <row r="138" spans="1:22" ht="15.75" customHeight="1">
      <c r="A138" s="549" t="s">
        <v>8</v>
      </c>
      <c r="B138" s="552" t="s">
        <v>38</v>
      </c>
      <c r="C138" s="555" t="s">
        <v>8</v>
      </c>
      <c r="D138" s="566" t="s">
        <v>146</v>
      </c>
      <c r="E138" s="572"/>
      <c r="F138" s="563" t="s">
        <v>12</v>
      </c>
      <c r="G138" s="546" t="s">
        <v>145</v>
      </c>
      <c r="H138" s="275" t="s">
        <v>53</v>
      </c>
      <c r="I138" s="159">
        <f>J138+L138</f>
        <v>1200</v>
      </c>
      <c r="J138" s="156"/>
      <c r="K138" s="156"/>
      <c r="L138" s="157">
        <v>1200</v>
      </c>
      <c r="M138" s="159">
        <f>N138+P138</f>
        <v>1840.2</v>
      </c>
      <c r="N138" s="156"/>
      <c r="O138" s="156"/>
      <c r="P138" s="157">
        <v>1840.2</v>
      </c>
      <c r="Q138" s="521">
        <f>R138+T138</f>
        <v>475.2</v>
      </c>
      <c r="R138" s="522"/>
      <c r="S138" s="522"/>
      <c r="T138" s="526">
        <f>733-213-24.8-20</f>
        <v>475.2</v>
      </c>
      <c r="U138" s="195">
        <v>928.4</v>
      </c>
      <c r="V138" s="189">
        <v>928.4</v>
      </c>
    </row>
    <row r="139" spans="1:22" ht="15.75" customHeight="1">
      <c r="A139" s="550"/>
      <c r="B139" s="553"/>
      <c r="C139" s="556"/>
      <c r="D139" s="567"/>
      <c r="E139" s="573"/>
      <c r="F139" s="564"/>
      <c r="G139" s="547"/>
      <c r="H139" s="277"/>
      <c r="I139" s="164">
        <f>J139+L139</f>
        <v>0</v>
      </c>
      <c r="J139" s="173"/>
      <c r="K139" s="173"/>
      <c r="L139" s="174"/>
      <c r="M139" s="164">
        <f>N139+P139</f>
        <v>0</v>
      </c>
      <c r="N139" s="173"/>
      <c r="O139" s="173"/>
      <c r="P139" s="174"/>
      <c r="Q139" s="367">
        <f>R139+T139</f>
        <v>0</v>
      </c>
      <c r="R139" s="368"/>
      <c r="S139" s="368"/>
      <c r="T139" s="369"/>
      <c r="U139" s="196"/>
      <c r="V139" s="197"/>
    </row>
    <row r="140" spans="1:22" ht="15.75" customHeight="1" thickBot="1">
      <c r="A140" s="551"/>
      <c r="B140" s="554"/>
      <c r="C140" s="557"/>
      <c r="D140" s="568"/>
      <c r="E140" s="574"/>
      <c r="F140" s="565"/>
      <c r="G140" s="548"/>
      <c r="H140" s="363" t="s">
        <v>20</v>
      </c>
      <c r="I140" s="357">
        <f t="shared" ref="I140:V140" si="42">SUM(I138:I139)</f>
        <v>1200</v>
      </c>
      <c r="J140" s="358">
        <f t="shared" si="42"/>
        <v>0</v>
      </c>
      <c r="K140" s="359">
        <f t="shared" si="42"/>
        <v>0</v>
      </c>
      <c r="L140" s="360">
        <f t="shared" si="42"/>
        <v>1200</v>
      </c>
      <c r="M140" s="357">
        <f t="shared" si="42"/>
        <v>1840.2</v>
      </c>
      <c r="N140" s="358">
        <f t="shared" si="42"/>
        <v>0</v>
      </c>
      <c r="O140" s="359">
        <f t="shared" si="42"/>
        <v>0</v>
      </c>
      <c r="P140" s="360">
        <f t="shared" si="42"/>
        <v>1840.2</v>
      </c>
      <c r="Q140" s="357">
        <f t="shared" si="42"/>
        <v>475.2</v>
      </c>
      <c r="R140" s="358">
        <f t="shared" si="42"/>
        <v>0</v>
      </c>
      <c r="S140" s="359">
        <f t="shared" si="42"/>
        <v>0</v>
      </c>
      <c r="T140" s="360">
        <f t="shared" si="42"/>
        <v>475.2</v>
      </c>
      <c r="U140" s="361">
        <f t="shared" si="42"/>
        <v>928.4</v>
      </c>
      <c r="V140" s="362">
        <f t="shared" si="42"/>
        <v>928.4</v>
      </c>
    </row>
    <row r="141" spans="1:22" ht="18" customHeight="1">
      <c r="A141" s="549" t="s">
        <v>8</v>
      </c>
      <c r="B141" s="552" t="s">
        <v>38</v>
      </c>
      <c r="C141" s="555" t="s">
        <v>9</v>
      </c>
      <c r="D141" s="578" t="s">
        <v>186</v>
      </c>
      <c r="E141" s="572"/>
      <c r="F141" s="563" t="s">
        <v>12</v>
      </c>
      <c r="G141" s="546" t="s">
        <v>145</v>
      </c>
      <c r="H141" s="275" t="s">
        <v>11</v>
      </c>
      <c r="I141" s="159">
        <f>J141+L141</f>
        <v>150</v>
      </c>
      <c r="J141" s="156">
        <v>150</v>
      </c>
      <c r="K141" s="156"/>
      <c r="L141" s="157"/>
      <c r="M141" s="159">
        <f>N141+P141</f>
        <v>1690</v>
      </c>
      <c r="N141" s="156">
        <v>1690</v>
      </c>
      <c r="O141" s="160"/>
      <c r="P141" s="161"/>
      <c r="Q141" s="521">
        <f>R141+T141</f>
        <v>290.5</v>
      </c>
      <c r="R141" s="522">
        <f>135+145</f>
        <v>280</v>
      </c>
      <c r="S141" s="365"/>
      <c r="T141" s="526">
        <v>10.5</v>
      </c>
      <c r="U141" s="297">
        <v>135</v>
      </c>
      <c r="V141" s="298">
        <v>135</v>
      </c>
    </row>
    <row r="142" spans="1:22" ht="18" customHeight="1">
      <c r="A142" s="550"/>
      <c r="B142" s="553"/>
      <c r="C142" s="556"/>
      <c r="D142" s="579"/>
      <c r="E142" s="573"/>
      <c r="F142" s="564"/>
      <c r="G142" s="547"/>
      <c r="H142" s="109" t="s">
        <v>53</v>
      </c>
      <c r="I142" s="172">
        <f>J142+L142</f>
        <v>1172.7</v>
      </c>
      <c r="J142" s="173">
        <v>1172.7</v>
      </c>
      <c r="K142" s="173"/>
      <c r="L142" s="174"/>
      <c r="M142" s="172">
        <f>N142+P142</f>
        <v>2761</v>
      </c>
      <c r="N142" s="173">
        <v>2761</v>
      </c>
      <c r="O142" s="198" t="s">
        <v>51</v>
      </c>
      <c r="P142" s="199"/>
      <c r="Q142" s="541">
        <f>R142+T142</f>
        <v>1917.3000000000002</v>
      </c>
      <c r="R142" s="540">
        <f>900+338.4+104.8+347.1+227</f>
        <v>1917.3000000000002</v>
      </c>
      <c r="S142" s="368"/>
      <c r="T142" s="369"/>
      <c r="U142" s="200">
        <v>1206.0999999999999</v>
      </c>
      <c r="V142" s="201">
        <v>1206.0999999999999</v>
      </c>
    </row>
    <row r="143" spans="1:22" ht="18" customHeight="1" thickBot="1">
      <c r="A143" s="551"/>
      <c r="B143" s="554"/>
      <c r="C143" s="557"/>
      <c r="D143" s="580"/>
      <c r="E143" s="574"/>
      <c r="F143" s="565"/>
      <c r="G143" s="548"/>
      <c r="H143" s="350" t="s">
        <v>20</v>
      </c>
      <c r="I143" s="357">
        <f t="shared" ref="I143:V143" si="43">SUM(I141:I142)</f>
        <v>1322.7</v>
      </c>
      <c r="J143" s="359">
        <f t="shared" si="43"/>
        <v>1322.7</v>
      </c>
      <c r="K143" s="359">
        <f t="shared" si="43"/>
        <v>0</v>
      </c>
      <c r="L143" s="360">
        <f t="shared" si="43"/>
        <v>0</v>
      </c>
      <c r="M143" s="357">
        <f t="shared" si="43"/>
        <v>4451</v>
      </c>
      <c r="N143" s="359">
        <f t="shared" si="43"/>
        <v>4451</v>
      </c>
      <c r="O143" s="359">
        <f t="shared" si="43"/>
        <v>0</v>
      </c>
      <c r="P143" s="360">
        <f t="shared" si="43"/>
        <v>0</v>
      </c>
      <c r="Q143" s="357">
        <f t="shared" si="43"/>
        <v>2207.8000000000002</v>
      </c>
      <c r="R143" s="359">
        <f t="shared" si="43"/>
        <v>2197.3000000000002</v>
      </c>
      <c r="S143" s="359">
        <f t="shared" si="43"/>
        <v>0</v>
      </c>
      <c r="T143" s="360">
        <f t="shared" si="43"/>
        <v>10.5</v>
      </c>
      <c r="U143" s="361">
        <f t="shared" si="43"/>
        <v>1341.1</v>
      </c>
      <c r="V143" s="362">
        <f t="shared" si="43"/>
        <v>1341.1</v>
      </c>
    </row>
    <row r="144" spans="1:22" ht="15.75" customHeight="1">
      <c r="A144" s="549" t="s">
        <v>8</v>
      </c>
      <c r="B144" s="552" t="s">
        <v>38</v>
      </c>
      <c r="C144" s="555" t="s">
        <v>10</v>
      </c>
      <c r="D144" s="566" t="s">
        <v>157</v>
      </c>
      <c r="E144" s="572"/>
      <c r="F144" s="563" t="s">
        <v>12</v>
      </c>
      <c r="G144" s="546" t="s">
        <v>145</v>
      </c>
      <c r="H144" s="275" t="s">
        <v>11</v>
      </c>
      <c r="I144" s="159">
        <f>J144+L144</f>
        <v>50</v>
      </c>
      <c r="J144" s="156">
        <v>50</v>
      </c>
      <c r="K144" s="156"/>
      <c r="L144" s="193"/>
      <c r="M144" s="159">
        <f>N144+P144</f>
        <v>100</v>
      </c>
      <c r="N144" s="156">
        <v>100</v>
      </c>
      <c r="O144" s="156"/>
      <c r="P144" s="157"/>
      <c r="Q144" s="364">
        <f>R144+T144</f>
        <v>45</v>
      </c>
      <c r="R144" s="365">
        <v>45</v>
      </c>
      <c r="S144" s="365"/>
      <c r="T144" s="366"/>
      <c r="U144" s="162">
        <v>45</v>
      </c>
      <c r="V144" s="183">
        <v>45</v>
      </c>
    </row>
    <row r="145" spans="1:24" ht="15.75" customHeight="1">
      <c r="A145" s="550"/>
      <c r="B145" s="553"/>
      <c r="C145" s="556"/>
      <c r="D145" s="567"/>
      <c r="E145" s="573"/>
      <c r="F145" s="564"/>
      <c r="G145" s="547"/>
      <c r="H145" s="109" t="s">
        <v>53</v>
      </c>
      <c r="I145" s="172">
        <f>J145+L145</f>
        <v>400</v>
      </c>
      <c r="J145" s="173"/>
      <c r="K145" s="173"/>
      <c r="L145" s="299">
        <v>400</v>
      </c>
      <c r="M145" s="172">
        <f>N145+P145</f>
        <v>600</v>
      </c>
      <c r="N145" s="173">
        <v>600</v>
      </c>
      <c r="O145" s="173"/>
      <c r="P145" s="174"/>
      <c r="Q145" s="541">
        <f>R145+T145</f>
        <v>466.8</v>
      </c>
      <c r="R145" s="540">
        <f>226.8+240</f>
        <v>466.8</v>
      </c>
      <c r="S145" s="368"/>
      <c r="T145" s="369"/>
      <c r="U145" s="176">
        <v>287.10000000000002</v>
      </c>
      <c r="V145" s="177">
        <v>287.10000000000002</v>
      </c>
      <c r="X145" s="89"/>
    </row>
    <row r="146" spans="1:24" ht="15.75" customHeight="1" thickBot="1">
      <c r="A146" s="551"/>
      <c r="B146" s="554"/>
      <c r="C146" s="557"/>
      <c r="D146" s="568"/>
      <c r="E146" s="574"/>
      <c r="F146" s="565"/>
      <c r="G146" s="548"/>
      <c r="H146" s="356" t="s">
        <v>20</v>
      </c>
      <c r="I146" s="357">
        <f t="shared" ref="I146:V146" si="44">SUM(I144:I145)</f>
        <v>450</v>
      </c>
      <c r="J146" s="358">
        <f t="shared" si="44"/>
        <v>50</v>
      </c>
      <c r="K146" s="359">
        <f t="shared" si="44"/>
        <v>0</v>
      </c>
      <c r="L146" s="360">
        <f t="shared" si="44"/>
        <v>400</v>
      </c>
      <c r="M146" s="357">
        <f t="shared" si="44"/>
        <v>700</v>
      </c>
      <c r="N146" s="358">
        <f t="shared" si="44"/>
        <v>700</v>
      </c>
      <c r="O146" s="359">
        <f t="shared" si="44"/>
        <v>0</v>
      </c>
      <c r="P146" s="360">
        <f t="shared" si="44"/>
        <v>0</v>
      </c>
      <c r="Q146" s="357">
        <f t="shared" si="44"/>
        <v>511.8</v>
      </c>
      <c r="R146" s="358">
        <f t="shared" si="44"/>
        <v>511.8</v>
      </c>
      <c r="S146" s="359">
        <f t="shared" si="44"/>
        <v>0</v>
      </c>
      <c r="T146" s="360">
        <f t="shared" si="44"/>
        <v>0</v>
      </c>
      <c r="U146" s="361">
        <f t="shared" si="44"/>
        <v>332.1</v>
      </c>
      <c r="V146" s="362">
        <f t="shared" si="44"/>
        <v>332.1</v>
      </c>
    </row>
    <row r="147" spans="1:24" ht="15.75" customHeight="1">
      <c r="A147" s="549" t="s">
        <v>8</v>
      </c>
      <c r="B147" s="595" t="s">
        <v>38</v>
      </c>
      <c r="C147" s="555" t="s">
        <v>12</v>
      </c>
      <c r="D147" s="566" t="s">
        <v>147</v>
      </c>
      <c r="E147" s="572"/>
      <c r="F147" s="563" t="s">
        <v>12</v>
      </c>
      <c r="G147" s="546" t="s">
        <v>145</v>
      </c>
      <c r="H147" s="275" t="s">
        <v>11</v>
      </c>
      <c r="I147" s="159">
        <f>J147+L147</f>
        <v>0</v>
      </c>
      <c r="J147" s="156"/>
      <c r="K147" s="193"/>
      <c r="L147" s="157"/>
      <c r="M147" s="159">
        <f>N147+P147</f>
        <v>0</v>
      </c>
      <c r="N147" s="156"/>
      <c r="O147" s="156"/>
      <c r="P147" s="157"/>
      <c r="Q147" s="364">
        <f>R147+T147</f>
        <v>0</v>
      </c>
      <c r="R147" s="365"/>
      <c r="S147" s="371"/>
      <c r="T147" s="366"/>
      <c r="U147" s="162"/>
      <c r="V147" s="183"/>
      <c r="X147" s="89"/>
    </row>
    <row r="148" spans="1:24" ht="15.75" customHeight="1">
      <c r="A148" s="550"/>
      <c r="B148" s="596"/>
      <c r="C148" s="556"/>
      <c r="D148" s="567"/>
      <c r="E148" s="573"/>
      <c r="F148" s="564"/>
      <c r="G148" s="547"/>
      <c r="H148" s="277" t="s">
        <v>53</v>
      </c>
      <c r="I148" s="172">
        <f>J148+L148</f>
        <v>272.60000000000002</v>
      </c>
      <c r="J148" s="173">
        <v>272.60000000000002</v>
      </c>
      <c r="K148" s="299"/>
      <c r="L148" s="174"/>
      <c r="M148" s="172">
        <f>N148+P148</f>
        <v>272.60000000000002</v>
      </c>
      <c r="N148" s="173">
        <v>272.60000000000002</v>
      </c>
      <c r="O148" s="173"/>
      <c r="P148" s="174"/>
      <c r="Q148" s="370">
        <f>R148+T148</f>
        <v>231.8</v>
      </c>
      <c r="R148" s="368">
        <f>215.4+16.4</f>
        <v>231.8</v>
      </c>
      <c r="S148" s="372"/>
      <c r="T148" s="369"/>
      <c r="U148" s="176">
        <v>272.60000000000002</v>
      </c>
      <c r="V148" s="177">
        <v>272.60000000000002</v>
      </c>
    </row>
    <row r="149" spans="1:24" ht="15.75" customHeight="1" thickBot="1">
      <c r="A149" s="551"/>
      <c r="B149" s="597"/>
      <c r="C149" s="557"/>
      <c r="D149" s="568"/>
      <c r="E149" s="574"/>
      <c r="F149" s="565"/>
      <c r="G149" s="548"/>
      <c r="H149" s="350" t="s">
        <v>20</v>
      </c>
      <c r="I149" s="351">
        <f t="shared" ref="I149:V149" si="45">SUM(I147:I148)</f>
        <v>272.60000000000002</v>
      </c>
      <c r="J149" s="349">
        <f t="shared" si="45"/>
        <v>272.60000000000002</v>
      </c>
      <c r="K149" s="352">
        <f t="shared" si="45"/>
        <v>0</v>
      </c>
      <c r="L149" s="353">
        <f t="shared" si="45"/>
        <v>0</v>
      </c>
      <c r="M149" s="351">
        <f t="shared" si="45"/>
        <v>272.60000000000002</v>
      </c>
      <c r="N149" s="349">
        <f t="shared" si="45"/>
        <v>272.60000000000002</v>
      </c>
      <c r="O149" s="352">
        <f t="shared" si="45"/>
        <v>0</v>
      </c>
      <c r="P149" s="353">
        <f t="shared" si="45"/>
        <v>0</v>
      </c>
      <c r="Q149" s="351">
        <f t="shared" si="45"/>
        <v>231.8</v>
      </c>
      <c r="R149" s="349">
        <f t="shared" si="45"/>
        <v>231.8</v>
      </c>
      <c r="S149" s="352">
        <f t="shared" si="45"/>
        <v>0</v>
      </c>
      <c r="T149" s="353">
        <f t="shared" si="45"/>
        <v>0</v>
      </c>
      <c r="U149" s="354">
        <f t="shared" si="45"/>
        <v>272.60000000000002</v>
      </c>
      <c r="V149" s="355">
        <f t="shared" si="45"/>
        <v>272.60000000000002</v>
      </c>
    </row>
    <row r="150" spans="1:24" ht="15.75" customHeight="1" thickBot="1">
      <c r="A150" s="499" t="s">
        <v>8</v>
      </c>
      <c r="B150" s="498" t="s">
        <v>38</v>
      </c>
      <c r="C150" s="613" t="s">
        <v>19</v>
      </c>
      <c r="D150" s="614"/>
      <c r="E150" s="614"/>
      <c r="F150" s="614"/>
      <c r="G150" s="614"/>
      <c r="H150" s="614"/>
      <c r="I150" s="313">
        <f t="shared" ref="I150:V150" si="46">SUM(I149,I146,I143,I140)</f>
        <v>3245.3</v>
      </c>
      <c r="J150" s="314">
        <f t="shared" si="46"/>
        <v>1645.3000000000002</v>
      </c>
      <c r="K150" s="314">
        <f t="shared" si="46"/>
        <v>0</v>
      </c>
      <c r="L150" s="316">
        <f t="shared" si="46"/>
        <v>1600</v>
      </c>
      <c r="M150" s="313">
        <f t="shared" si="46"/>
        <v>7263.8</v>
      </c>
      <c r="N150" s="314">
        <f t="shared" si="46"/>
        <v>5423.6</v>
      </c>
      <c r="O150" s="314">
        <f t="shared" si="46"/>
        <v>0</v>
      </c>
      <c r="P150" s="316">
        <f t="shared" si="46"/>
        <v>1840.2</v>
      </c>
      <c r="Q150" s="313">
        <f t="shared" si="46"/>
        <v>3426.6</v>
      </c>
      <c r="R150" s="314">
        <f t="shared" si="46"/>
        <v>2940.9</v>
      </c>
      <c r="S150" s="314">
        <f t="shared" si="46"/>
        <v>0</v>
      </c>
      <c r="T150" s="316">
        <f t="shared" si="46"/>
        <v>485.7</v>
      </c>
      <c r="U150" s="321">
        <f t="shared" si="46"/>
        <v>2874.2</v>
      </c>
      <c r="V150" s="319">
        <f t="shared" si="46"/>
        <v>2874.2</v>
      </c>
    </row>
    <row r="151" spans="1:24" ht="15.75" customHeight="1">
      <c r="A151" s="500" t="s">
        <v>8</v>
      </c>
      <c r="B151" s="612" t="s">
        <v>21</v>
      </c>
      <c r="C151" s="612"/>
      <c r="D151" s="612"/>
      <c r="E151" s="612"/>
      <c r="F151" s="612"/>
      <c r="G151" s="612"/>
      <c r="H151" s="612"/>
      <c r="I151" s="315">
        <f t="shared" ref="I151:V151" si="47">SUM(I150,I136,I113,I100,I91)</f>
        <v>50143</v>
      </c>
      <c r="J151" s="310">
        <f t="shared" si="47"/>
        <v>20361.5</v>
      </c>
      <c r="K151" s="310">
        <f t="shared" si="47"/>
        <v>0</v>
      </c>
      <c r="L151" s="317">
        <f t="shared" si="47"/>
        <v>29781.5</v>
      </c>
      <c r="M151" s="315">
        <f t="shared" si="47"/>
        <v>78413.600000000006</v>
      </c>
      <c r="N151" s="310">
        <f t="shared" si="47"/>
        <v>32141.599999999999</v>
      </c>
      <c r="O151" s="310">
        <f t="shared" si="47"/>
        <v>0</v>
      </c>
      <c r="P151" s="317">
        <f t="shared" si="47"/>
        <v>46272</v>
      </c>
      <c r="Q151" s="315">
        <f t="shared" si="47"/>
        <v>66009.100000000006</v>
      </c>
      <c r="R151" s="310">
        <f t="shared" si="47"/>
        <v>23253.5</v>
      </c>
      <c r="S151" s="310">
        <f t="shared" si="47"/>
        <v>0</v>
      </c>
      <c r="T151" s="317">
        <f t="shared" si="47"/>
        <v>42755.6</v>
      </c>
      <c r="U151" s="322">
        <f t="shared" si="47"/>
        <v>75763.3</v>
      </c>
      <c r="V151" s="320">
        <f t="shared" si="47"/>
        <v>41050.1</v>
      </c>
      <c r="X151" s="89"/>
    </row>
    <row r="152" spans="1:24" ht="15.75" customHeight="1" thickBot="1">
      <c r="A152" s="501" t="s">
        <v>13</v>
      </c>
      <c r="B152" s="766" t="s">
        <v>27</v>
      </c>
      <c r="C152" s="766"/>
      <c r="D152" s="766"/>
      <c r="E152" s="766"/>
      <c r="F152" s="766"/>
      <c r="G152" s="766"/>
      <c r="H152" s="766"/>
      <c r="I152" s="212">
        <f t="shared" ref="I152:V152" si="48">I151</f>
        <v>50143</v>
      </c>
      <c r="J152" s="311">
        <f t="shared" si="48"/>
        <v>20361.5</v>
      </c>
      <c r="K152" s="311">
        <f t="shared" si="48"/>
        <v>0</v>
      </c>
      <c r="L152" s="318">
        <f t="shared" si="48"/>
        <v>29781.5</v>
      </c>
      <c r="M152" s="212">
        <f t="shared" si="48"/>
        <v>78413.600000000006</v>
      </c>
      <c r="N152" s="311">
        <f t="shared" si="48"/>
        <v>32141.599999999999</v>
      </c>
      <c r="O152" s="311">
        <f t="shared" si="48"/>
        <v>0</v>
      </c>
      <c r="P152" s="318">
        <f t="shared" si="48"/>
        <v>46272</v>
      </c>
      <c r="Q152" s="212">
        <f t="shared" si="48"/>
        <v>66009.100000000006</v>
      </c>
      <c r="R152" s="311">
        <f t="shared" si="48"/>
        <v>23253.5</v>
      </c>
      <c r="S152" s="311">
        <f t="shared" si="48"/>
        <v>0</v>
      </c>
      <c r="T152" s="318">
        <f t="shared" si="48"/>
        <v>42755.6</v>
      </c>
      <c r="U152" s="308">
        <f t="shared" si="48"/>
        <v>75763.3</v>
      </c>
      <c r="V152" s="213">
        <f t="shared" si="48"/>
        <v>41050.1</v>
      </c>
    </row>
    <row r="153" spans="1:24" s="104" customFormat="1" ht="15.75" customHeight="1">
      <c r="A153" s="492"/>
      <c r="B153" s="492"/>
      <c r="C153" s="492"/>
      <c r="D153" s="492"/>
      <c r="E153" s="492"/>
      <c r="F153" s="492"/>
      <c r="G153" s="492"/>
      <c r="H153" s="492"/>
      <c r="I153" s="312"/>
      <c r="J153" s="312"/>
      <c r="K153" s="312"/>
      <c r="L153" s="309"/>
      <c r="M153" s="309"/>
      <c r="N153" s="309"/>
      <c r="O153" s="309"/>
      <c r="P153" s="309"/>
      <c r="Q153" s="309"/>
      <c r="R153" s="103"/>
      <c r="S153" s="103"/>
      <c r="T153" s="103"/>
      <c r="U153" s="103"/>
      <c r="V153" s="103"/>
      <c r="X153" s="300"/>
    </row>
    <row r="154" spans="1:24" ht="14.25" customHeight="1">
      <c r="A154" s="581" t="s">
        <v>36</v>
      </c>
      <c r="B154" s="581"/>
      <c r="C154" s="581"/>
      <c r="D154" s="581"/>
      <c r="E154" s="581"/>
      <c r="F154" s="581"/>
      <c r="G154" s="581"/>
      <c r="H154" s="581"/>
      <c r="I154" s="581"/>
      <c r="J154" s="581"/>
      <c r="K154" s="581"/>
      <c r="L154" s="581"/>
      <c r="M154" s="581"/>
      <c r="N154" s="581"/>
      <c r="O154" s="581"/>
      <c r="P154" s="581"/>
      <c r="Q154" s="581"/>
      <c r="R154" s="581"/>
      <c r="S154" s="581"/>
      <c r="T154" s="581"/>
      <c r="U154" s="9"/>
      <c r="V154" s="10"/>
    </row>
    <row r="155" spans="1:24" ht="12.75" customHeight="1" thickBot="1">
      <c r="A155" s="11"/>
      <c r="B155" s="11"/>
      <c r="C155" s="12"/>
      <c r="D155" s="87"/>
      <c r="E155" s="484"/>
      <c r="F155" s="27"/>
      <c r="G155" s="13"/>
      <c r="H155" s="289"/>
      <c r="M155" s="90"/>
      <c r="N155" s="14"/>
      <c r="O155" s="15"/>
      <c r="Q155" s="601" t="s">
        <v>46</v>
      </c>
      <c r="R155" s="601"/>
      <c r="S155" s="601"/>
      <c r="T155" s="601"/>
      <c r="U155" s="16"/>
      <c r="V155" s="83"/>
    </row>
    <row r="156" spans="1:24" ht="33.75" customHeight="1" thickBot="1">
      <c r="A156" s="592" t="s">
        <v>28</v>
      </c>
      <c r="B156" s="593"/>
      <c r="C156" s="593"/>
      <c r="D156" s="593"/>
      <c r="E156" s="593"/>
      <c r="F156" s="593"/>
      <c r="G156" s="593"/>
      <c r="H156" s="594"/>
      <c r="I156" s="592" t="s">
        <v>148</v>
      </c>
      <c r="J156" s="593"/>
      <c r="K156" s="593"/>
      <c r="L156" s="594"/>
      <c r="M156" s="592" t="s">
        <v>154</v>
      </c>
      <c r="N156" s="593"/>
      <c r="O156" s="593"/>
      <c r="P156" s="594"/>
      <c r="Q156" s="592" t="s">
        <v>155</v>
      </c>
      <c r="R156" s="593"/>
      <c r="S156" s="593"/>
      <c r="T156" s="594"/>
      <c r="U156" s="303"/>
      <c r="V156" s="304"/>
      <c r="W156" s="305"/>
      <c r="X156" s="305"/>
    </row>
    <row r="157" spans="1:24" ht="15.75" customHeight="1">
      <c r="A157" s="615" t="s">
        <v>33</v>
      </c>
      <c r="B157" s="616"/>
      <c r="C157" s="616"/>
      <c r="D157" s="616"/>
      <c r="E157" s="616"/>
      <c r="F157" s="616"/>
      <c r="G157" s="616"/>
      <c r="H157" s="617"/>
      <c r="I157" s="575">
        <f>SUM(I158:L159)</f>
        <v>18692.099999999999</v>
      </c>
      <c r="J157" s="576"/>
      <c r="K157" s="576"/>
      <c r="L157" s="577"/>
      <c r="M157" s="575">
        <f>SUM(M158:P159)</f>
        <v>28564.600000000002</v>
      </c>
      <c r="N157" s="576"/>
      <c r="O157" s="576"/>
      <c r="P157" s="577"/>
      <c r="Q157" s="575">
        <f>SUM(Q158:T159)</f>
        <v>20854</v>
      </c>
      <c r="R157" s="576"/>
      <c r="S157" s="576"/>
      <c r="T157" s="577"/>
      <c r="U157" s="302"/>
      <c r="V157" s="302"/>
      <c r="W157" s="306"/>
      <c r="X157" s="307"/>
    </row>
    <row r="158" spans="1:24" ht="15.75" customHeight="1">
      <c r="A158" s="618" t="s">
        <v>166</v>
      </c>
      <c r="B158" s="619"/>
      <c r="C158" s="619"/>
      <c r="D158" s="619"/>
      <c r="E158" s="619"/>
      <c r="F158" s="619"/>
      <c r="G158" s="619"/>
      <c r="H158" s="620"/>
      <c r="I158" s="598">
        <f>SUMIF(H12:H152,"SB",I12:I152)</f>
        <v>18333.5</v>
      </c>
      <c r="J158" s="599"/>
      <c r="K158" s="599"/>
      <c r="L158" s="600"/>
      <c r="M158" s="598">
        <f>SUMIF(H12:H152,"SB",M12:M152)</f>
        <v>27430.7</v>
      </c>
      <c r="N158" s="599"/>
      <c r="O158" s="599"/>
      <c r="P158" s="600"/>
      <c r="Q158" s="598">
        <f>SUMIF(H12:H152,"SB",Q12:Q152)</f>
        <v>19760.599999999999</v>
      </c>
      <c r="R158" s="599"/>
      <c r="S158" s="599"/>
      <c r="T158" s="600"/>
      <c r="U158" s="237"/>
      <c r="V158" s="238"/>
    </row>
    <row r="159" spans="1:24" ht="15.75" customHeight="1">
      <c r="A159" s="633" t="s">
        <v>185</v>
      </c>
      <c r="B159" s="634"/>
      <c r="C159" s="634"/>
      <c r="D159" s="634"/>
      <c r="E159" s="634"/>
      <c r="F159" s="634"/>
      <c r="G159" s="634"/>
      <c r="H159" s="635"/>
      <c r="I159" s="624">
        <f>SUMIF(H12:H152,"SB(P)",I12:I152)</f>
        <v>358.6</v>
      </c>
      <c r="J159" s="625"/>
      <c r="K159" s="625"/>
      <c r="L159" s="626"/>
      <c r="M159" s="624">
        <f>SUMIF(H12:H152,"SB(P)",M12:M152)</f>
        <v>1133.9000000000001</v>
      </c>
      <c r="N159" s="625"/>
      <c r="O159" s="625"/>
      <c r="P159" s="626"/>
      <c r="Q159" s="624">
        <f>SUMIF(H12:H152,"SB(P)",Q12:Q152)</f>
        <v>1093.4000000000001</v>
      </c>
      <c r="R159" s="625"/>
      <c r="S159" s="625"/>
      <c r="T159" s="626"/>
      <c r="U159" s="237"/>
      <c r="V159" s="238"/>
    </row>
    <row r="160" spans="1:24" ht="15.75" customHeight="1">
      <c r="A160" s="639" t="s">
        <v>34</v>
      </c>
      <c r="B160" s="640"/>
      <c r="C160" s="640"/>
      <c r="D160" s="640"/>
      <c r="E160" s="640"/>
      <c r="F160" s="640"/>
      <c r="G160" s="640"/>
      <c r="H160" s="641"/>
      <c r="I160" s="636">
        <f>SUM(I161:L165)</f>
        <v>31450.9</v>
      </c>
      <c r="J160" s="637"/>
      <c r="K160" s="637"/>
      <c r="L160" s="638"/>
      <c r="M160" s="636">
        <f>SUM(M161:P165)</f>
        <v>49849</v>
      </c>
      <c r="N160" s="637"/>
      <c r="O160" s="637"/>
      <c r="P160" s="638"/>
      <c r="Q160" s="636">
        <f>SUM(Q161:T165)</f>
        <v>45155.099999999991</v>
      </c>
      <c r="R160" s="637"/>
      <c r="S160" s="637"/>
      <c r="T160" s="638"/>
      <c r="U160" s="239"/>
      <c r="V160" s="17"/>
    </row>
    <row r="161" spans="1:22" ht="15.75" customHeight="1">
      <c r="A161" s="642" t="s">
        <v>167</v>
      </c>
      <c r="B161" s="643"/>
      <c r="C161" s="643"/>
      <c r="D161" s="643"/>
      <c r="E161" s="643"/>
      <c r="F161" s="643"/>
      <c r="G161" s="643"/>
      <c r="H161" s="644"/>
      <c r="I161" s="598">
        <f>SUMIF(H12:H152,"ES",I12:I152)</f>
        <v>14080.9</v>
      </c>
      <c r="J161" s="599"/>
      <c r="K161" s="599"/>
      <c r="L161" s="600"/>
      <c r="M161" s="598">
        <f>SUMIF(H12:H152,"ES",M12:M152)</f>
        <v>24139.9</v>
      </c>
      <c r="N161" s="599"/>
      <c r="O161" s="599"/>
      <c r="P161" s="600"/>
      <c r="Q161" s="598">
        <f>SUMIF(H12:H152,"ES",Q12:Q152)</f>
        <v>24247</v>
      </c>
      <c r="R161" s="599"/>
      <c r="S161" s="599"/>
      <c r="T161" s="600"/>
      <c r="U161" s="237"/>
      <c r="V161" s="238"/>
    </row>
    <row r="162" spans="1:22" ht="15.75" customHeight="1">
      <c r="A162" s="630" t="s">
        <v>169</v>
      </c>
      <c r="B162" s="631"/>
      <c r="C162" s="631"/>
      <c r="D162" s="631"/>
      <c r="E162" s="631"/>
      <c r="F162" s="631"/>
      <c r="G162" s="631"/>
      <c r="H162" s="632"/>
      <c r="I162" s="624">
        <f>SUMIF(H12:H152,"KPP",I12:I152)</f>
        <v>16663.099999999999</v>
      </c>
      <c r="J162" s="625"/>
      <c r="K162" s="625"/>
      <c r="L162" s="626"/>
      <c r="M162" s="624">
        <f>SUMIF(H12:H152,"KPP",M12:M152)</f>
        <v>14449.1</v>
      </c>
      <c r="N162" s="625"/>
      <c r="O162" s="625"/>
      <c r="P162" s="626"/>
      <c r="Q162" s="624">
        <f>SUMIF(H12:H148,"KPP",Q12:Q148)</f>
        <v>9634.8999999999978</v>
      </c>
      <c r="R162" s="625"/>
      <c r="S162" s="625"/>
      <c r="T162" s="626"/>
      <c r="U162" s="242"/>
      <c r="V162" s="243"/>
    </row>
    <row r="163" spans="1:22" s="71" customFormat="1" ht="15.75" customHeight="1">
      <c r="A163" s="633" t="s">
        <v>168</v>
      </c>
      <c r="B163" s="634"/>
      <c r="C163" s="634"/>
      <c r="D163" s="634"/>
      <c r="E163" s="634"/>
      <c r="F163" s="634"/>
      <c r="G163" s="634"/>
      <c r="H163" s="635"/>
      <c r="I163" s="624">
        <f>SUMIF(H12:H152,"LRVB",I12:I152)</f>
        <v>506.9</v>
      </c>
      <c r="J163" s="625"/>
      <c r="K163" s="625"/>
      <c r="L163" s="626"/>
      <c r="M163" s="624">
        <f>SUMIF(H12:H152,"LRVB",M12:M152)</f>
        <v>633.5</v>
      </c>
      <c r="N163" s="625"/>
      <c r="O163" s="625"/>
      <c r="P163" s="626"/>
      <c r="Q163" s="624">
        <f>SUMIF(H12:H152,"LRVB",Q12:Q152)</f>
        <v>646.70000000000005</v>
      </c>
      <c r="R163" s="625"/>
      <c r="S163" s="625"/>
      <c r="T163" s="626"/>
      <c r="U163" s="240"/>
      <c r="V163" s="241"/>
    </row>
    <row r="164" spans="1:22" ht="15.75" customHeight="1">
      <c r="A164" s="630" t="s">
        <v>170</v>
      </c>
      <c r="B164" s="631"/>
      <c r="C164" s="631"/>
      <c r="D164" s="631"/>
      <c r="E164" s="631"/>
      <c r="F164" s="631"/>
      <c r="G164" s="631"/>
      <c r="H164" s="632"/>
      <c r="I164" s="624">
        <f>SUMIF(H12:H152,"KVJUD",I12:I152)</f>
        <v>0</v>
      </c>
      <c r="J164" s="625"/>
      <c r="K164" s="625"/>
      <c r="L164" s="626"/>
      <c r="M164" s="624">
        <f>SUMIF(H12:H152,"KVJUD",M12:M152)</f>
        <v>7000</v>
      </c>
      <c r="N164" s="625"/>
      <c r="O164" s="625"/>
      <c r="P164" s="626"/>
      <c r="Q164" s="624">
        <f>SUMIF(H12:H152,"KVJUD",Q12:Q152)</f>
        <v>7000</v>
      </c>
      <c r="R164" s="625"/>
      <c r="S164" s="625"/>
      <c r="T164" s="626"/>
      <c r="U164" s="237"/>
      <c r="V164" s="238"/>
    </row>
    <row r="165" spans="1:22" ht="15.75" customHeight="1">
      <c r="A165" s="633" t="s">
        <v>171</v>
      </c>
      <c r="B165" s="634"/>
      <c r="C165" s="634"/>
      <c r="D165" s="634"/>
      <c r="E165" s="634"/>
      <c r="F165" s="634"/>
      <c r="G165" s="634"/>
      <c r="H165" s="635"/>
      <c r="I165" s="624">
        <f>SUMIF(H12:H152,"Kt",I12:I152)</f>
        <v>200</v>
      </c>
      <c r="J165" s="625"/>
      <c r="K165" s="625"/>
      <c r="L165" s="626"/>
      <c r="M165" s="624">
        <f>SUMIF(H12:H152,"Kt",M12:M152)</f>
        <v>3626.5</v>
      </c>
      <c r="N165" s="625"/>
      <c r="O165" s="625"/>
      <c r="P165" s="626"/>
      <c r="Q165" s="624">
        <f>SUMIF(H12:H152,"Kt",Q12:Q152)</f>
        <v>3626.5</v>
      </c>
      <c r="R165" s="625"/>
      <c r="S165" s="625"/>
      <c r="T165" s="626"/>
      <c r="U165" s="237"/>
      <c r="V165" s="238"/>
    </row>
    <row r="166" spans="1:22" ht="15.75" customHeight="1" thickBot="1">
      <c r="A166" s="627" t="s">
        <v>35</v>
      </c>
      <c r="B166" s="628"/>
      <c r="C166" s="628"/>
      <c r="D166" s="628"/>
      <c r="E166" s="628"/>
      <c r="F166" s="628"/>
      <c r="G166" s="628"/>
      <c r="H166" s="629"/>
      <c r="I166" s="621">
        <f>I160+I157</f>
        <v>50143</v>
      </c>
      <c r="J166" s="622"/>
      <c r="K166" s="622"/>
      <c r="L166" s="623"/>
      <c r="M166" s="621">
        <f>M160+M157</f>
        <v>78413.600000000006</v>
      </c>
      <c r="N166" s="622"/>
      <c r="O166" s="622"/>
      <c r="P166" s="623"/>
      <c r="Q166" s="621">
        <f>Q160+Q157</f>
        <v>66009.099999999991</v>
      </c>
      <c r="R166" s="622"/>
      <c r="S166" s="622"/>
      <c r="T166" s="623"/>
      <c r="U166" s="244"/>
      <c r="V166" s="245"/>
    </row>
    <row r="169" spans="1:22">
      <c r="I169" s="89"/>
      <c r="J169" s="89"/>
      <c r="N169" s="89"/>
      <c r="P169" s="89"/>
    </row>
  </sheetData>
  <mergeCells count="277">
    <mergeCell ref="A109:A112"/>
    <mergeCell ref="F63:F65"/>
    <mergeCell ref="F93:F96"/>
    <mergeCell ref="F80:F82"/>
    <mergeCell ref="B93:B96"/>
    <mergeCell ref="G63:G65"/>
    <mergeCell ref="A63:A65"/>
    <mergeCell ref="A66:A69"/>
    <mergeCell ref="A70:A74"/>
    <mergeCell ref="B80:B82"/>
    <mergeCell ref="A80:A82"/>
    <mergeCell ref="A93:A96"/>
    <mergeCell ref="B66:B69"/>
    <mergeCell ref="D75:D79"/>
    <mergeCell ref="C75:C79"/>
    <mergeCell ref="A75:A79"/>
    <mergeCell ref="B75:B79"/>
    <mergeCell ref="D80:D82"/>
    <mergeCell ref="G70:G74"/>
    <mergeCell ref="C80:C82"/>
    <mergeCell ref="F66:F69"/>
    <mergeCell ref="E71:E74"/>
    <mergeCell ref="E77:E79"/>
    <mergeCell ref="E75:E76"/>
    <mergeCell ref="A83:A90"/>
    <mergeCell ref="B83:B90"/>
    <mergeCell ref="C83:C90"/>
    <mergeCell ref="E83:E90"/>
    <mergeCell ref="F83:F90"/>
    <mergeCell ref="G83:G90"/>
    <mergeCell ref="D83:D84"/>
    <mergeCell ref="E98:E99"/>
    <mergeCell ref="F97:F99"/>
    <mergeCell ref="G93:G96"/>
    <mergeCell ref="C92:V92"/>
    <mergeCell ref="E94:E96"/>
    <mergeCell ref="D97:D99"/>
    <mergeCell ref="C97:C99"/>
    <mergeCell ref="C91:H91"/>
    <mergeCell ref="C93:C96"/>
    <mergeCell ref="B152:H152"/>
    <mergeCell ref="C141:C143"/>
    <mergeCell ref="G138:G140"/>
    <mergeCell ref="E15:E19"/>
    <mergeCell ref="D57:D58"/>
    <mergeCell ref="B12:B19"/>
    <mergeCell ref="D34:D35"/>
    <mergeCell ref="C36:C43"/>
    <mergeCell ref="E36:E43"/>
    <mergeCell ref="B63:B65"/>
    <mergeCell ref="D63:D65"/>
    <mergeCell ref="B70:B74"/>
    <mergeCell ref="E63:E65"/>
    <mergeCell ref="C70:C74"/>
    <mergeCell ref="E59:E62"/>
    <mergeCell ref="E12:E14"/>
    <mergeCell ref="E67:E69"/>
    <mergeCell ref="C63:C65"/>
    <mergeCell ref="C66:C69"/>
    <mergeCell ref="D66:D69"/>
    <mergeCell ref="E20:E22"/>
    <mergeCell ref="C113:H113"/>
    <mergeCell ref="C114:V114"/>
    <mergeCell ref="B102:B108"/>
    <mergeCell ref="G52:G56"/>
    <mergeCell ref="F44:F51"/>
    <mergeCell ref="G36:G43"/>
    <mergeCell ref="G12:G19"/>
    <mergeCell ref="D16:D17"/>
    <mergeCell ref="A28:A35"/>
    <mergeCell ref="D52:D56"/>
    <mergeCell ref="E44:E51"/>
    <mergeCell ref="F36:F43"/>
    <mergeCell ref="D21:D22"/>
    <mergeCell ref="F20:F27"/>
    <mergeCell ref="A52:A56"/>
    <mergeCell ref="A44:A51"/>
    <mergeCell ref="C44:C51"/>
    <mergeCell ref="F12:F19"/>
    <mergeCell ref="E23:E26"/>
    <mergeCell ref="F52:F56"/>
    <mergeCell ref="C52:C56"/>
    <mergeCell ref="A20:A27"/>
    <mergeCell ref="A36:A43"/>
    <mergeCell ref="E28:E35"/>
    <mergeCell ref="F28:F35"/>
    <mergeCell ref="C20:C27"/>
    <mergeCell ref="C28:C35"/>
    <mergeCell ref="A2:V2"/>
    <mergeCell ref="A3:V3"/>
    <mergeCell ref="A5:A7"/>
    <mergeCell ref="B5:B7"/>
    <mergeCell ref="C5:C7"/>
    <mergeCell ref="D5:D7"/>
    <mergeCell ref="F5:F7"/>
    <mergeCell ref="L6:L7"/>
    <mergeCell ref="U5:U7"/>
    <mergeCell ref="T6:T7"/>
    <mergeCell ref="P6:P7"/>
    <mergeCell ref="R6:S6"/>
    <mergeCell ref="H5:H7"/>
    <mergeCell ref="Q5:T5"/>
    <mergeCell ref="I5:L5"/>
    <mergeCell ref="M6:M7"/>
    <mergeCell ref="J6:K6"/>
    <mergeCell ref="N6:O6"/>
    <mergeCell ref="A57:A62"/>
    <mergeCell ref="B52:B56"/>
    <mergeCell ref="B28:B35"/>
    <mergeCell ref="B36:B43"/>
    <mergeCell ref="B57:B62"/>
    <mergeCell ref="B44:B51"/>
    <mergeCell ref="C12:C19"/>
    <mergeCell ref="F57:F62"/>
    <mergeCell ref="E53:E56"/>
    <mergeCell ref="E57:E58"/>
    <mergeCell ref="D61:D62"/>
    <mergeCell ref="C57:C62"/>
    <mergeCell ref="F141:F143"/>
    <mergeCell ref="C138:C140"/>
    <mergeCell ref="G75:G79"/>
    <mergeCell ref="D131:D132"/>
    <mergeCell ref="G80:G82"/>
    <mergeCell ref="G57:G62"/>
    <mergeCell ref="E102:E108"/>
    <mergeCell ref="E118:E120"/>
    <mergeCell ref="C109:C112"/>
    <mergeCell ref="G121:G123"/>
    <mergeCell ref="C100:H100"/>
    <mergeCell ref="G115:G117"/>
    <mergeCell ref="G102:G108"/>
    <mergeCell ref="G66:G69"/>
    <mergeCell ref="D93:D96"/>
    <mergeCell ref="D109:D112"/>
    <mergeCell ref="G97:G99"/>
    <mergeCell ref="D70:D74"/>
    <mergeCell ref="E80:E82"/>
    <mergeCell ref="F75:F79"/>
    <mergeCell ref="F70:F74"/>
    <mergeCell ref="E127:E128"/>
    <mergeCell ref="F121:F123"/>
    <mergeCell ref="C121:C123"/>
    <mergeCell ref="C11:V11"/>
    <mergeCell ref="B10:V10"/>
    <mergeCell ref="G20:G27"/>
    <mergeCell ref="A8:V8"/>
    <mergeCell ref="V5:V7"/>
    <mergeCell ref="M5:P5"/>
    <mergeCell ref="G5:G7"/>
    <mergeCell ref="Q6:Q7"/>
    <mergeCell ref="E5:E7"/>
    <mergeCell ref="I6:I7"/>
    <mergeCell ref="A9:V9"/>
    <mergeCell ref="A12:A19"/>
    <mergeCell ref="G28:G35"/>
    <mergeCell ref="G44:G51"/>
    <mergeCell ref="B20:B27"/>
    <mergeCell ref="A97:A99"/>
    <mergeCell ref="A102:A108"/>
    <mergeCell ref="C133:C135"/>
    <mergeCell ref="G144:G146"/>
    <mergeCell ref="G141:G143"/>
    <mergeCell ref="F133:F135"/>
    <mergeCell ref="B133:B135"/>
    <mergeCell ref="E134:E135"/>
    <mergeCell ref="C101:V101"/>
    <mergeCell ref="G127:G132"/>
    <mergeCell ref="D138:D140"/>
    <mergeCell ref="B109:B112"/>
    <mergeCell ref="B97:B99"/>
    <mergeCell ref="C102:C108"/>
    <mergeCell ref="D129:D130"/>
    <mergeCell ref="E121:E122"/>
    <mergeCell ref="E109:E112"/>
    <mergeCell ref="F109:F112"/>
    <mergeCell ref="F124:F126"/>
    <mergeCell ref="G109:G112"/>
    <mergeCell ref="C115:C117"/>
    <mergeCell ref="Q159:T159"/>
    <mergeCell ref="Q163:T163"/>
    <mergeCell ref="M162:P162"/>
    <mergeCell ref="Q162:T162"/>
    <mergeCell ref="M165:P165"/>
    <mergeCell ref="Q161:T161"/>
    <mergeCell ref="Q160:T160"/>
    <mergeCell ref="M161:P161"/>
    <mergeCell ref="A160:H160"/>
    <mergeCell ref="A163:H163"/>
    <mergeCell ref="I164:L164"/>
    <mergeCell ref="M164:P164"/>
    <mergeCell ref="A162:H162"/>
    <mergeCell ref="M160:P160"/>
    <mergeCell ref="I160:L160"/>
    <mergeCell ref="A161:H161"/>
    <mergeCell ref="M159:P159"/>
    <mergeCell ref="A159:H159"/>
    <mergeCell ref="I161:L161"/>
    <mergeCell ref="I159:L159"/>
    <mergeCell ref="Q166:T166"/>
    <mergeCell ref="Q164:T164"/>
    <mergeCell ref="I162:L162"/>
    <mergeCell ref="A166:H166"/>
    <mergeCell ref="M163:P163"/>
    <mergeCell ref="A164:H164"/>
    <mergeCell ref="M166:P166"/>
    <mergeCell ref="A165:H165"/>
    <mergeCell ref="I165:L165"/>
    <mergeCell ref="I166:L166"/>
    <mergeCell ref="Q165:T165"/>
    <mergeCell ref="I163:L163"/>
    <mergeCell ref="M158:P158"/>
    <mergeCell ref="Q158:T158"/>
    <mergeCell ref="I157:L157"/>
    <mergeCell ref="Q155:T155"/>
    <mergeCell ref="Q156:T156"/>
    <mergeCell ref="F127:F132"/>
    <mergeCell ref="D133:D135"/>
    <mergeCell ref="E129:E130"/>
    <mergeCell ref="I158:L158"/>
    <mergeCell ref="C137:Q137"/>
    <mergeCell ref="E144:E146"/>
    <mergeCell ref="C144:C146"/>
    <mergeCell ref="B151:H151"/>
    <mergeCell ref="C147:C149"/>
    <mergeCell ref="E147:E149"/>
    <mergeCell ref="A156:H156"/>
    <mergeCell ref="M156:P156"/>
    <mergeCell ref="F147:F149"/>
    <mergeCell ref="C150:H150"/>
    <mergeCell ref="G147:G149"/>
    <mergeCell ref="F138:F140"/>
    <mergeCell ref="A157:H157"/>
    <mergeCell ref="A158:H158"/>
    <mergeCell ref="B138:B140"/>
    <mergeCell ref="Q157:T157"/>
    <mergeCell ref="M157:P157"/>
    <mergeCell ref="E141:E143"/>
    <mergeCell ref="D141:D143"/>
    <mergeCell ref="G133:G135"/>
    <mergeCell ref="A154:T154"/>
    <mergeCell ref="F144:F146"/>
    <mergeCell ref="A127:A132"/>
    <mergeCell ref="A133:A135"/>
    <mergeCell ref="B127:B132"/>
    <mergeCell ref="C127:C132"/>
    <mergeCell ref="E131:E132"/>
    <mergeCell ref="A138:A140"/>
    <mergeCell ref="C136:H136"/>
    <mergeCell ref="E138:E140"/>
    <mergeCell ref="A144:A146"/>
    <mergeCell ref="I156:L156"/>
    <mergeCell ref="A141:A143"/>
    <mergeCell ref="A147:A149"/>
    <mergeCell ref="B141:B143"/>
    <mergeCell ref="D144:D146"/>
    <mergeCell ref="B144:B146"/>
    <mergeCell ref="D147:D149"/>
    <mergeCell ref="B147:B149"/>
    <mergeCell ref="G124:G126"/>
    <mergeCell ref="A115:A117"/>
    <mergeCell ref="B124:B126"/>
    <mergeCell ref="A121:A123"/>
    <mergeCell ref="B121:B123"/>
    <mergeCell ref="G118:G120"/>
    <mergeCell ref="C124:C126"/>
    <mergeCell ref="D124:D126"/>
    <mergeCell ref="E124:E125"/>
    <mergeCell ref="F118:F120"/>
    <mergeCell ref="D115:D117"/>
    <mergeCell ref="D121:D123"/>
    <mergeCell ref="B118:B120"/>
    <mergeCell ref="B115:B117"/>
    <mergeCell ref="E115:E117"/>
    <mergeCell ref="F115:F117"/>
    <mergeCell ref="C118:C120"/>
    <mergeCell ref="D118:D120"/>
    <mergeCell ref="A124:A126"/>
  </mergeCells>
  <phoneticPr fontId="1" type="noConversion"/>
  <printOptions horizontalCentered="1"/>
  <pageMargins left="0" right="0" top="0" bottom="0" header="0" footer="0"/>
  <pageSetup paperSize="9" scale="75" orientation="landscape" r:id="rId1"/>
  <headerFooter alignWithMargins="0">
    <oddFooter>Puslapių &amp;P</oddFooter>
  </headerFooter>
  <rowBreaks count="4" manualBreakCount="4">
    <brk id="35" max="21" man="1"/>
    <brk id="69" max="21" man="1"/>
    <brk id="108" max="21" man="1"/>
    <brk id="143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zoomScaleSheetLayoutView="100" workbookViewId="0">
      <selection activeCell="D10" sqref="D10"/>
    </sheetView>
  </sheetViews>
  <sheetFormatPr defaultRowHeight="12.75"/>
  <cols>
    <col min="1" max="1" width="37.140625" style="18" customWidth="1"/>
    <col min="2" max="6" width="11.7109375" style="18" customWidth="1"/>
    <col min="7" max="16384" width="9.140625" style="18"/>
  </cols>
  <sheetData>
    <row r="1" spans="1:8" s="22" customFormat="1" ht="18" customHeight="1">
      <c r="A1" s="810" t="s">
        <v>57</v>
      </c>
      <c r="B1" s="810"/>
      <c r="C1" s="810"/>
      <c r="D1" s="810"/>
      <c r="E1" s="810"/>
      <c r="F1" s="810"/>
    </row>
    <row r="2" spans="1:8" s="22" customFormat="1" ht="18" customHeight="1" thickBot="1">
      <c r="F2" s="252" t="s">
        <v>32</v>
      </c>
    </row>
    <row r="3" spans="1:8" customFormat="1" ht="14.25" customHeight="1">
      <c r="A3" s="814" t="s">
        <v>23</v>
      </c>
      <c r="B3" s="811" t="s">
        <v>225</v>
      </c>
      <c r="C3" s="814" t="s">
        <v>154</v>
      </c>
      <c r="D3" s="811" t="s">
        <v>224</v>
      </c>
      <c r="E3" s="811" t="s">
        <v>130</v>
      </c>
      <c r="F3" s="811" t="s">
        <v>158</v>
      </c>
    </row>
    <row r="4" spans="1:8" customFormat="1" ht="9.75" customHeight="1">
      <c r="A4" s="815"/>
      <c r="B4" s="812"/>
      <c r="C4" s="817"/>
      <c r="D4" s="812"/>
      <c r="E4" s="812"/>
      <c r="F4" s="812"/>
    </row>
    <row r="5" spans="1:8" customFormat="1">
      <c r="A5" s="815"/>
      <c r="B5" s="812"/>
      <c r="C5" s="817"/>
      <c r="D5" s="812"/>
      <c r="E5" s="812"/>
      <c r="F5" s="812"/>
    </row>
    <row r="6" spans="1:8" customFormat="1" ht="32.25" customHeight="1" thickBot="1">
      <c r="A6" s="816"/>
      <c r="B6" s="813"/>
      <c r="C6" s="818"/>
      <c r="D6" s="813"/>
      <c r="E6" s="813"/>
      <c r="F6" s="813"/>
    </row>
    <row r="7" spans="1:8" ht="15.75" customHeight="1">
      <c r="A7" s="470" t="s">
        <v>40</v>
      </c>
      <c r="B7" s="471">
        <f>B8+B10</f>
        <v>50143</v>
      </c>
      <c r="C7" s="471">
        <f>C8+C10</f>
        <v>78413.600000000006</v>
      </c>
      <c r="D7" s="471">
        <f>D8+D10</f>
        <v>66009.100000000006</v>
      </c>
      <c r="E7" s="471">
        <f>'1 lentelė'!U152</f>
        <v>75763.3</v>
      </c>
      <c r="F7" s="471">
        <f>'1 lentelė'!V152</f>
        <v>41050.1</v>
      </c>
      <c r="G7" s="20"/>
      <c r="H7" s="19"/>
    </row>
    <row r="8" spans="1:8" ht="15.75" customHeight="1">
      <c r="A8" s="497" t="s">
        <v>41</v>
      </c>
      <c r="B8" s="246">
        <f>SUM('1 lentelė'!J152)</f>
        <v>20361.5</v>
      </c>
      <c r="C8" s="247">
        <f>SUM('1 lentelė'!N152)</f>
        <v>32141.599999999999</v>
      </c>
      <c r="D8" s="472">
        <f>SUM('1 lentelė'!R152)</f>
        <v>23253.5</v>
      </c>
      <c r="E8" s="246"/>
      <c r="F8" s="248"/>
      <c r="G8" s="19"/>
      <c r="H8" s="19"/>
    </row>
    <row r="9" spans="1:8" ht="15.75" customHeight="1">
      <c r="A9" s="24" t="s">
        <v>42</v>
      </c>
      <c r="B9" s="249">
        <f>'1 lentelė'!K152</f>
        <v>0</v>
      </c>
      <c r="C9" s="250">
        <f>'1 lentelė'!O152</f>
        <v>0</v>
      </c>
      <c r="D9" s="473">
        <f>'1 lentelė'!S152</f>
        <v>0</v>
      </c>
      <c r="E9" s="246"/>
      <c r="F9" s="251"/>
      <c r="G9" s="19"/>
      <c r="H9" s="19"/>
    </row>
    <row r="10" spans="1:8" ht="15.75" customHeight="1" thickBot="1">
      <c r="A10" s="509" t="s">
        <v>24</v>
      </c>
      <c r="B10" s="510">
        <f>SUM('1 lentelė'!L152)</f>
        <v>29781.5</v>
      </c>
      <c r="C10" s="511">
        <f>SUM('1 lentelė'!P152)</f>
        <v>46272</v>
      </c>
      <c r="D10" s="512">
        <f>SUM('1 lentelė'!T152)</f>
        <v>42755.6</v>
      </c>
      <c r="E10" s="510"/>
      <c r="F10" s="513"/>
      <c r="G10" s="19"/>
      <c r="H10" s="19"/>
    </row>
    <row r="11" spans="1:8" ht="15.75" customHeight="1">
      <c r="A11" s="470" t="s">
        <v>43</v>
      </c>
      <c r="B11" s="471">
        <f>B12+B16</f>
        <v>50143</v>
      </c>
      <c r="C11" s="471">
        <f>C12+C16</f>
        <v>78413.600000000006</v>
      </c>
      <c r="D11" s="471">
        <f>D12+D16</f>
        <v>66009.099999999991</v>
      </c>
      <c r="E11" s="471">
        <f>E12+E16</f>
        <v>75763.3</v>
      </c>
      <c r="F11" s="471">
        <f>F12+F16</f>
        <v>41050.100000000006</v>
      </c>
    </row>
    <row r="12" spans="1:8" ht="15.75" customHeight="1">
      <c r="A12" s="504" t="s">
        <v>44</v>
      </c>
      <c r="B12" s="505">
        <f>SUM(B13:B15)</f>
        <v>18692.099999999999</v>
      </c>
      <c r="C12" s="505">
        <f>SUM(C13:C15)</f>
        <v>28564.600000000002</v>
      </c>
      <c r="D12" s="505">
        <f>SUM(D13:D15)</f>
        <v>20854</v>
      </c>
      <c r="E12" s="505">
        <f>SUM(E13:E15)</f>
        <v>19477.600000000002</v>
      </c>
      <c r="F12" s="505">
        <f>SUM(F13:F15)</f>
        <v>20617.900000000001</v>
      </c>
    </row>
    <row r="13" spans="1:8" customFormat="1" ht="15.75" customHeight="1">
      <c r="A13" s="503" t="s">
        <v>227</v>
      </c>
      <c r="B13" s="253">
        <f>SUMIF('1 lentelė'!H12:H152,"SB",'1 lentelė'!I12:I152)</f>
        <v>18333.5</v>
      </c>
      <c r="C13" s="253">
        <f>SUMIF('1 lentelė'!H12:H152,"SB",'1 lentelė'!M12:M152)</f>
        <v>27430.7</v>
      </c>
      <c r="D13" s="474">
        <f>SUMIF('1 lentelė'!H12:H152,"SB",'1 lentelė'!Q12:Q152)</f>
        <v>19760.599999999999</v>
      </c>
      <c r="E13" s="253">
        <f>SUMIF('1 lentelė'!H12:H152,"SB",'1 lentelė'!U12:U152)</f>
        <v>18212.800000000003</v>
      </c>
      <c r="F13" s="253">
        <f>SUMIF('1 lentelė'!H12:H152,"SB",'1 lentelė'!V12:V152)</f>
        <v>18117.900000000001</v>
      </c>
    </row>
    <row r="14" spans="1:8" ht="15.75" customHeight="1">
      <c r="A14" s="493" t="s">
        <v>228</v>
      </c>
      <c r="B14" s="253">
        <f>SUMIF('1 lentelė'!H12:H152,"SB(P)",'1 lentelė'!I12:I152)</f>
        <v>358.6</v>
      </c>
      <c r="C14" s="253">
        <f>SUMIF('1 lentelė'!H12:H152,"SB(P)",'1 lentelė'!M12:M152)</f>
        <v>1133.9000000000001</v>
      </c>
      <c r="D14" s="474">
        <f>SUMIF('1 lentelė'!H12:H152,"SB(P)",'1 lentelė'!Q12:Q152)</f>
        <v>1093.4000000000001</v>
      </c>
      <c r="E14" s="253">
        <f>SUMIF('1 lentelė'!H12:H152,"SB(P)",'1 lentelė'!U12:U152)</f>
        <v>1264.8</v>
      </c>
      <c r="F14" s="253">
        <f>SUMIF('1 lentelė'!H12:H152,"SB(P)",'1 lentelė'!V12:V152)</f>
        <v>2500</v>
      </c>
    </row>
    <row r="15" spans="1:8" ht="15.75" customHeight="1">
      <c r="A15" s="493" t="s">
        <v>229</v>
      </c>
      <c r="B15" s="506">
        <f>SUMIF('1 lentelė'!H12:H152,"PF",'1 lentelė'!I12:I152)</f>
        <v>0</v>
      </c>
      <c r="C15" s="506">
        <f>SUMIF('1 lentelė'!H12:H152,"PF",'1 lentelė'!M12:M152)</f>
        <v>0</v>
      </c>
      <c r="D15" s="502">
        <f>SUMIF('1 lentelė'!H12:H152,"PF",'1 lentelė'!Q12:Q152)</f>
        <v>0</v>
      </c>
      <c r="E15" s="506">
        <f>SUMIF('1 lentelė'!H12:H152,"PF",'1 lentelė'!U12:U152)</f>
        <v>0</v>
      </c>
      <c r="F15" s="506">
        <f>SUMIF('1 lentelė'!H12:H152,"PF",'1 lentelė'!V12:V152)</f>
        <v>0</v>
      </c>
    </row>
    <row r="16" spans="1:8" ht="15.75" customHeight="1">
      <c r="A16" s="508" t="s">
        <v>45</v>
      </c>
      <c r="B16" s="505">
        <f>SUM(B17:B21)</f>
        <v>31450.9</v>
      </c>
      <c r="C16" s="505">
        <f>SUM(C17:C21)</f>
        <v>49849</v>
      </c>
      <c r="D16" s="505">
        <f>SUM(D17:D21)</f>
        <v>45155.099999999991</v>
      </c>
      <c r="E16" s="505">
        <f>SUM(E17:E21)</f>
        <v>56285.7</v>
      </c>
      <c r="F16" s="505">
        <f>SUM(F17:F21)</f>
        <v>20432.2</v>
      </c>
    </row>
    <row r="17" spans="1:6" ht="15.75" customHeight="1">
      <c r="A17" s="507" t="s">
        <v>116</v>
      </c>
      <c r="B17" s="253">
        <f>SUMIF('1 lentelė'!H12:H152,"ES",'1 lentelė'!I12:I152)</f>
        <v>14080.9</v>
      </c>
      <c r="C17" s="253">
        <f>SUMIF('1 lentelė'!H12:H152,"ES",'1 lentelė'!M12:M152)</f>
        <v>24139.9</v>
      </c>
      <c r="D17" s="474">
        <f>SUMIF('1 lentelė'!H12:H152,"ES",'1 lentelė'!Q12:Q152)</f>
        <v>24247</v>
      </c>
      <c r="E17" s="253">
        <f>SUMIF('1 lentelė'!H12:H152,"ES",'1 lentelė'!U12:U152)</f>
        <v>23917.100000000002</v>
      </c>
      <c r="F17" s="253">
        <f>SUMIF('1 lentelė'!H12:H152,"ES",'1 lentelė'!V12:V152)</f>
        <v>848.19999999999993</v>
      </c>
    </row>
    <row r="18" spans="1:6" ht="15.75" customHeight="1">
      <c r="A18" s="494" t="s">
        <v>230</v>
      </c>
      <c r="B18" s="253">
        <f>SUMIF('1 lentelė'!H12:H152,"KPP",'1 lentelė'!I12:I152)</f>
        <v>16663.099999999999</v>
      </c>
      <c r="C18" s="253">
        <f>SUMIF('1 lentelė'!H12:H152,"KPP",'1 lentelė'!M12:M152)</f>
        <v>14449.1</v>
      </c>
      <c r="D18" s="474">
        <f>SUMIF('1 lentelė'!H12:H152,"KPP",'1 lentelė'!Q12:Q152)</f>
        <v>9634.8999999999978</v>
      </c>
      <c r="E18" s="253">
        <f>SUMIF('1 lentelė'!H12:H152,"KPP",'1 lentelė'!U12:U152)</f>
        <v>23343.299999999996</v>
      </c>
      <c r="F18" s="253">
        <f>SUMIF('1 lentelė'!H12:H152,"KPP",'1 lentelė'!V12:V152)</f>
        <v>11937.6</v>
      </c>
    </row>
    <row r="19" spans="1:6" ht="15.75" customHeight="1">
      <c r="A19" s="495" t="s">
        <v>231</v>
      </c>
      <c r="B19" s="253">
        <f>SUMIF('1 lentelė'!H12:H152,"LRVB",'1 lentelė'!I12:I152)</f>
        <v>506.9</v>
      </c>
      <c r="C19" s="253">
        <f>SUMIF('1 lentelė'!H12:H152,"LRVB",'1 lentelė'!M12:M152)</f>
        <v>633.5</v>
      </c>
      <c r="D19" s="474">
        <f>SUMIF('1 lentelė'!H12:H152,"LRVB",'1 lentelė'!Q12:Q152)</f>
        <v>646.70000000000005</v>
      </c>
      <c r="E19" s="253">
        <f>SUMIF('1 lentelė'!H12:H152,"LRVB",'1 lentelė'!U12:U152)</f>
        <v>783.3</v>
      </c>
      <c r="F19" s="253">
        <f>SUMIF('1 lentelė'!H12:H152,"LRVB",'1 lentelė'!V12:V152)</f>
        <v>0</v>
      </c>
    </row>
    <row r="20" spans="1:6" ht="15.75" customHeight="1">
      <c r="A20" s="493" t="s">
        <v>111</v>
      </c>
      <c r="B20" s="253">
        <f>SUMIF('1 lentelė'!H12:H152,"KVJUD",'1 lentelė'!I12:I152)</f>
        <v>0</v>
      </c>
      <c r="C20" s="253">
        <f>SUMIF('1 lentelė'!H12:H152,"KVJUD",'1 lentelė'!M12:M152)</f>
        <v>7000</v>
      </c>
      <c r="D20" s="474">
        <f>SUMIF('1 lentelė'!H12:H152,"KVJUD",'1 lentelė'!Q12:Q152)</f>
        <v>7000</v>
      </c>
      <c r="E20" s="253">
        <f>SUMIF('1 lentelė'!H12:H152,"KVJUD",'1 lentelė'!U12:U152)</f>
        <v>0</v>
      </c>
      <c r="F20" s="253">
        <f>SUMIF('1 lentelė'!H12:H152,"KVJUD",'1 lentelė'!V12:V152)</f>
        <v>0</v>
      </c>
    </row>
    <row r="21" spans="1:6" ht="15.75" customHeight="1" thickBot="1">
      <c r="A21" s="496" t="s">
        <v>188</v>
      </c>
      <c r="B21" s="253">
        <f>SUMIF('1 lentelė'!H12:H152,"Kt",'1 lentelė'!I12:I152)</f>
        <v>200</v>
      </c>
      <c r="C21" s="253">
        <f>SUMIF('1 lentelė'!H12:H152,"Kt",'1 lentelė'!M12:M152)</f>
        <v>3626.5</v>
      </c>
      <c r="D21" s="474">
        <f>SUMIF('1 lentelė'!H12:H152,"Kt",'1 lentelė'!Q12:Q152)</f>
        <v>3626.5</v>
      </c>
      <c r="E21" s="253">
        <f>SUMIF('1 lentelė'!H12:H152,"Kt",'1 lentelė'!U12:U152)</f>
        <v>8242</v>
      </c>
      <c r="F21" s="253">
        <f>SUMIF('1 lentelė'!H12:H152,"Kt",'1 lentelė'!V12:V152)</f>
        <v>7646.4</v>
      </c>
    </row>
    <row r="22" spans="1:6" customFormat="1" ht="15.75" customHeight="1">
      <c r="A22" s="491"/>
      <c r="B22" s="491"/>
      <c r="C22" s="491"/>
      <c r="D22" s="491"/>
      <c r="E22" s="491"/>
      <c r="F22" s="491"/>
    </row>
    <row r="23" spans="1:6" ht="15.75" customHeight="1">
      <c r="A23" s="486"/>
      <c r="B23" s="486"/>
      <c r="C23" s="486"/>
      <c r="D23" s="486"/>
      <c r="E23" s="486"/>
      <c r="F23" s="486"/>
    </row>
    <row r="24" spans="1:6">
      <c r="A24" s="21"/>
    </row>
  </sheetData>
  <mergeCells count="7">
    <mergeCell ref="A1:F1"/>
    <mergeCell ref="F3:F6"/>
    <mergeCell ref="A3:A6"/>
    <mergeCell ref="B3:B6"/>
    <mergeCell ref="C3:C6"/>
    <mergeCell ref="D3:D6"/>
    <mergeCell ref="E3:E6"/>
  </mergeCells>
  <phoneticPr fontId="1" type="noConversion"/>
  <pageMargins left="0.78740157480314965" right="0.35433070866141736" top="0.78740157480314965" bottom="0.78740157480314965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zoomScaleSheetLayoutView="100" workbookViewId="0">
      <selection activeCell="B30" sqref="B30"/>
    </sheetView>
  </sheetViews>
  <sheetFormatPr defaultRowHeight="12.75"/>
  <cols>
    <col min="1" max="1" width="13.7109375" style="72" customWidth="1"/>
    <col min="2" max="2" width="70.7109375" style="72" customWidth="1"/>
    <col min="3" max="3" width="13.85546875" style="84" customWidth="1"/>
    <col min="4" max="7" width="9.7109375" style="72" customWidth="1"/>
    <col min="8" max="16384" width="9.140625" style="72"/>
  </cols>
  <sheetData>
    <row r="1" spans="1:11" ht="18.75" customHeight="1">
      <c r="A1" s="28"/>
      <c r="B1" s="28" t="s">
        <v>58</v>
      </c>
      <c r="C1" s="29"/>
      <c r="D1" s="29"/>
      <c r="E1" s="29"/>
      <c r="F1" s="30"/>
      <c r="G1" s="31" t="s">
        <v>59</v>
      </c>
    </row>
    <row r="2" spans="1:11" ht="36" customHeight="1">
      <c r="A2" s="32"/>
      <c r="B2" s="33" t="s">
        <v>72</v>
      </c>
      <c r="C2" s="34" t="s">
        <v>60</v>
      </c>
      <c r="D2" s="35" t="s">
        <v>9</v>
      </c>
      <c r="E2" s="36"/>
      <c r="F2" s="36"/>
      <c r="G2" s="36"/>
    </row>
    <row r="3" spans="1:11" ht="15" customHeight="1">
      <c r="A3" s="32"/>
      <c r="B3" s="37" t="s">
        <v>61</v>
      </c>
      <c r="C3" s="38"/>
      <c r="D3" s="39"/>
      <c r="E3" s="36"/>
      <c r="F3" s="36"/>
      <c r="G3" s="36"/>
    </row>
    <row r="4" spans="1:11" ht="25.5" customHeight="1">
      <c r="A4" s="32"/>
      <c r="B4" s="33" t="s">
        <v>73</v>
      </c>
      <c r="C4" s="34" t="s">
        <v>60</v>
      </c>
      <c r="D4" s="35" t="s">
        <v>13</v>
      </c>
      <c r="E4" s="36"/>
      <c r="F4" s="36"/>
      <c r="G4" s="36"/>
    </row>
    <row r="5" spans="1:11" ht="15.75" customHeight="1">
      <c r="A5" s="40"/>
      <c r="B5" s="37" t="s">
        <v>62</v>
      </c>
      <c r="C5" s="530"/>
      <c r="D5" s="531"/>
      <c r="E5" s="532"/>
      <c r="F5" s="533"/>
      <c r="G5" s="533"/>
    </row>
    <row r="6" spans="1:11" ht="15.75" customHeight="1">
      <c r="A6" s="41"/>
      <c r="B6" s="42"/>
      <c r="C6" s="340"/>
      <c r="D6" s="42"/>
      <c r="E6" s="41"/>
      <c r="F6" s="42"/>
      <c r="G6" s="42"/>
    </row>
    <row r="7" spans="1:11" ht="18.75" customHeight="1">
      <c r="A7" s="822" t="s">
        <v>76</v>
      </c>
      <c r="B7" s="819" t="s">
        <v>63</v>
      </c>
      <c r="C7" s="819" t="s">
        <v>64</v>
      </c>
      <c r="D7" s="819" t="s">
        <v>192</v>
      </c>
      <c r="E7" s="819" t="s">
        <v>189</v>
      </c>
      <c r="F7" s="819" t="s">
        <v>132</v>
      </c>
      <c r="G7" s="819" t="s">
        <v>190</v>
      </c>
    </row>
    <row r="8" spans="1:11" ht="42.75" customHeight="1">
      <c r="A8" s="823"/>
      <c r="B8" s="819"/>
      <c r="C8" s="820" t="s">
        <v>47</v>
      </c>
      <c r="D8" s="820" t="s">
        <v>65</v>
      </c>
      <c r="E8" s="820"/>
      <c r="F8" s="821"/>
      <c r="G8" s="821"/>
    </row>
    <row r="9" spans="1:11">
      <c r="A9" s="65" t="s">
        <v>84</v>
      </c>
      <c r="B9" s="43" t="s">
        <v>66</v>
      </c>
      <c r="C9" s="44"/>
      <c r="D9" s="44"/>
      <c r="E9" s="44"/>
      <c r="F9" s="44"/>
      <c r="G9" s="44"/>
    </row>
    <row r="10" spans="1:11" ht="16.5" customHeight="1">
      <c r="A10" s="45"/>
      <c r="B10" s="46" t="s">
        <v>67</v>
      </c>
      <c r="C10" s="47"/>
      <c r="D10" s="47"/>
      <c r="E10" s="47"/>
      <c r="F10" s="47"/>
      <c r="G10" s="47"/>
    </row>
    <row r="11" spans="1:11" ht="17.25" customHeight="1">
      <c r="A11" s="45"/>
      <c r="B11" s="54" t="s">
        <v>121</v>
      </c>
      <c r="C11" s="47" t="s">
        <v>74</v>
      </c>
      <c r="D11" s="47">
        <v>81.400000000000006</v>
      </c>
      <c r="E11" s="47">
        <v>82</v>
      </c>
      <c r="F11" s="47">
        <v>83</v>
      </c>
      <c r="G11" s="47">
        <v>84</v>
      </c>
      <c r="I11" s="57"/>
      <c r="J11" s="534"/>
    </row>
    <row r="12" spans="1:11" ht="16.5" customHeight="1">
      <c r="A12" s="48"/>
      <c r="B12" s="56" t="s">
        <v>102</v>
      </c>
      <c r="C12" s="47" t="s">
        <v>75</v>
      </c>
      <c r="D12" s="47">
        <v>3.3</v>
      </c>
      <c r="E12" s="47">
        <v>3.4</v>
      </c>
      <c r="F12" s="47">
        <v>3.5</v>
      </c>
      <c r="G12" s="47">
        <v>3.6</v>
      </c>
      <c r="I12" s="57"/>
      <c r="J12" s="534"/>
    </row>
    <row r="13" spans="1:11" ht="15.75" customHeight="1">
      <c r="A13" s="48"/>
      <c r="B13" s="346" t="s">
        <v>193</v>
      </c>
      <c r="C13" s="342" t="s">
        <v>85</v>
      </c>
      <c r="D13" s="343">
        <v>18</v>
      </c>
      <c r="E13" s="343">
        <v>20</v>
      </c>
      <c r="F13" s="343">
        <v>22</v>
      </c>
      <c r="G13" s="343">
        <v>22</v>
      </c>
      <c r="I13" s="64"/>
      <c r="J13" s="64"/>
      <c r="K13" s="64"/>
    </row>
    <row r="14" spans="1:11" ht="16.5" customHeight="1">
      <c r="A14" s="48"/>
      <c r="B14" s="346" t="s">
        <v>220</v>
      </c>
      <c r="C14" s="344" t="s">
        <v>101</v>
      </c>
      <c r="D14" s="345">
        <v>87</v>
      </c>
      <c r="E14" s="345">
        <v>87</v>
      </c>
      <c r="F14" s="345">
        <v>117</v>
      </c>
      <c r="G14" s="345">
        <v>137</v>
      </c>
      <c r="I14" s="64"/>
      <c r="J14" s="64"/>
      <c r="K14" s="64"/>
    </row>
    <row r="15" spans="1:11">
      <c r="A15" s="45"/>
      <c r="B15" s="43" t="s">
        <v>68</v>
      </c>
      <c r="C15" s="44"/>
      <c r="D15" s="47"/>
      <c r="E15" s="47"/>
      <c r="F15" s="47"/>
      <c r="G15" s="47"/>
      <c r="I15" s="57"/>
      <c r="J15" s="58"/>
      <c r="K15" s="59"/>
    </row>
    <row r="16" spans="1:11">
      <c r="A16" s="45"/>
      <c r="B16" s="46" t="s">
        <v>67</v>
      </c>
      <c r="C16" s="47"/>
      <c r="D16" s="47"/>
      <c r="E16" s="47"/>
      <c r="F16" s="47"/>
      <c r="G16" s="47"/>
      <c r="I16" s="57"/>
      <c r="J16" s="534"/>
    </row>
    <row r="17" spans="1:13">
      <c r="A17" s="45"/>
      <c r="B17" s="51" t="s">
        <v>69</v>
      </c>
      <c r="C17" s="47"/>
      <c r="D17" s="74"/>
      <c r="E17" s="47"/>
      <c r="F17" s="47"/>
      <c r="G17" s="47"/>
    </row>
    <row r="18" spans="1:13">
      <c r="A18" s="45"/>
      <c r="B18" s="54" t="s">
        <v>105</v>
      </c>
      <c r="C18" s="55" t="s">
        <v>78</v>
      </c>
      <c r="D18" s="98">
        <v>354.8</v>
      </c>
      <c r="E18" s="92">
        <v>1713</v>
      </c>
      <c r="F18" s="55">
        <v>7.33</v>
      </c>
      <c r="G18" s="55">
        <v>0</v>
      </c>
    </row>
    <row r="19" spans="1:13" ht="16.5" customHeight="1">
      <c r="A19" s="48"/>
      <c r="B19" s="56" t="s">
        <v>106</v>
      </c>
      <c r="C19" s="55" t="s">
        <v>86</v>
      </c>
      <c r="D19" s="99">
        <v>3104</v>
      </c>
      <c r="E19" s="92">
        <v>1251</v>
      </c>
      <c r="F19" s="55">
        <v>7937.33</v>
      </c>
      <c r="G19" s="55">
        <f>9421-500</f>
        <v>8921</v>
      </c>
    </row>
    <row r="20" spans="1:13" ht="16.5" customHeight="1">
      <c r="A20" s="48"/>
      <c r="B20" s="56" t="s">
        <v>107</v>
      </c>
      <c r="C20" s="55" t="s">
        <v>87</v>
      </c>
      <c r="D20" s="99"/>
      <c r="E20" s="92">
        <v>1</v>
      </c>
      <c r="F20" s="55">
        <v>1</v>
      </c>
      <c r="G20" s="55">
        <v>0</v>
      </c>
    </row>
    <row r="21" spans="1:13" ht="15" customHeight="1">
      <c r="A21" s="48"/>
      <c r="B21" s="51" t="s">
        <v>70</v>
      </c>
      <c r="C21" s="47"/>
      <c r="D21" s="74"/>
      <c r="E21" s="47"/>
      <c r="F21" s="47"/>
      <c r="G21" s="47"/>
    </row>
    <row r="22" spans="1:13" ht="15" customHeight="1">
      <c r="A22" s="48"/>
      <c r="B22" s="52" t="s">
        <v>88</v>
      </c>
      <c r="C22" s="47" t="s">
        <v>79</v>
      </c>
      <c r="D22" s="47">
        <v>1317</v>
      </c>
      <c r="E22" s="47">
        <v>768</v>
      </c>
      <c r="F22" s="47">
        <v>1007.5</v>
      </c>
      <c r="G22" s="47">
        <v>1773.5</v>
      </c>
    </row>
    <row r="23" spans="1:13" ht="15.75" customHeight="1">
      <c r="A23" s="50"/>
      <c r="B23" s="51" t="s">
        <v>122</v>
      </c>
      <c r="C23" s="47"/>
      <c r="D23" s="47"/>
      <c r="E23" s="47"/>
      <c r="F23" s="47"/>
      <c r="G23" s="47"/>
    </row>
    <row r="24" spans="1:13" ht="15.75" customHeight="1">
      <c r="A24" s="50"/>
      <c r="B24" s="49" t="s">
        <v>237</v>
      </c>
      <c r="C24" s="47" t="s">
        <v>80</v>
      </c>
      <c r="D24" s="47">
        <v>150</v>
      </c>
      <c r="E24" s="47">
        <v>150</v>
      </c>
      <c r="F24" s="47">
        <v>150</v>
      </c>
      <c r="G24" s="47">
        <v>150</v>
      </c>
    </row>
    <row r="25" spans="1:13" ht="15.75" customHeight="1">
      <c r="A25" s="50"/>
      <c r="B25" s="52" t="s">
        <v>194</v>
      </c>
      <c r="C25" s="47" t="s">
        <v>108</v>
      </c>
      <c r="D25" s="47"/>
      <c r="E25" s="47">
        <v>130</v>
      </c>
      <c r="F25" s="47"/>
      <c r="G25" s="47"/>
    </row>
    <row r="26" spans="1:13" ht="15.75" customHeight="1">
      <c r="A26" s="50"/>
      <c r="B26" s="73" t="s">
        <v>112</v>
      </c>
      <c r="C26" s="47" t="s">
        <v>128</v>
      </c>
      <c r="D26" s="55">
        <v>691</v>
      </c>
      <c r="E26" s="55">
        <v>520</v>
      </c>
      <c r="F26" s="55">
        <v>520</v>
      </c>
      <c r="G26" s="55">
        <v>520</v>
      </c>
    </row>
    <row r="27" spans="1:13" ht="15" customHeight="1">
      <c r="A27" s="67"/>
      <c r="B27" s="100" t="s">
        <v>143</v>
      </c>
      <c r="C27" s="47" t="s">
        <v>81</v>
      </c>
      <c r="D27" s="93"/>
      <c r="E27" s="94">
        <v>1</v>
      </c>
      <c r="F27" s="95">
        <v>1</v>
      </c>
      <c r="G27" s="96">
        <v>1</v>
      </c>
    </row>
    <row r="28" spans="1:13" ht="15" customHeight="1">
      <c r="A28" s="67"/>
      <c r="B28" s="101" t="s">
        <v>113</v>
      </c>
      <c r="C28" s="47" t="s">
        <v>82</v>
      </c>
      <c r="D28" s="97">
        <v>5000</v>
      </c>
      <c r="E28" s="85">
        <v>4700</v>
      </c>
      <c r="F28" s="85">
        <v>4700</v>
      </c>
      <c r="G28" s="85">
        <v>4700</v>
      </c>
    </row>
    <row r="29" spans="1:13" ht="15" customHeight="1">
      <c r="A29" s="67"/>
      <c r="B29" s="102" t="s">
        <v>114</v>
      </c>
      <c r="C29" s="47" t="s">
        <v>109</v>
      </c>
      <c r="D29" s="76">
        <v>1</v>
      </c>
      <c r="E29" s="69">
        <v>3</v>
      </c>
      <c r="F29" s="69">
        <v>3</v>
      </c>
      <c r="G29" s="69">
        <v>3</v>
      </c>
    </row>
    <row r="30" spans="1:13" ht="15.75" customHeight="1">
      <c r="A30" s="50"/>
      <c r="B30" s="339" t="s">
        <v>71</v>
      </c>
      <c r="C30" s="47"/>
      <c r="D30" s="47"/>
      <c r="E30" s="47"/>
      <c r="F30" s="47"/>
      <c r="G30" s="47"/>
      <c r="I30" s="309"/>
      <c r="J30" s="309"/>
      <c r="K30" s="309"/>
      <c r="L30" s="309"/>
      <c r="M30" s="534"/>
    </row>
    <row r="31" spans="1:13" ht="15.75" customHeight="1">
      <c r="A31" s="50"/>
      <c r="B31" s="52" t="s">
        <v>117</v>
      </c>
      <c r="C31" s="47" t="s">
        <v>77</v>
      </c>
      <c r="D31" s="280">
        <v>9.6999999999999993</v>
      </c>
      <c r="E31" s="280">
        <v>11</v>
      </c>
      <c r="F31" s="280">
        <v>14</v>
      </c>
      <c r="G31" s="280">
        <v>14</v>
      </c>
      <c r="H31" s="534"/>
    </row>
    <row r="32" spans="1:13" ht="15.75" customHeight="1">
      <c r="A32" s="50"/>
      <c r="B32" s="52" t="s">
        <v>118</v>
      </c>
      <c r="C32" s="47" t="s">
        <v>83</v>
      </c>
      <c r="D32" s="47">
        <v>24.5</v>
      </c>
      <c r="E32" s="47">
        <v>11</v>
      </c>
      <c r="F32" s="47">
        <v>15</v>
      </c>
      <c r="G32" s="47">
        <v>15</v>
      </c>
    </row>
    <row r="33" spans="1:7" ht="15.75" customHeight="1">
      <c r="A33" s="50"/>
      <c r="B33" s="52" t="s">
        <v>196</v>
      </c>
      <c r="C33" s="47" t="s">
        <v>89</v>
      </c>
      <c r="D33" s="47">
        <v>2.6</v>
      </c>
      <c r="E33" s="47">
        <f>2+2.1</f>
        <v>4.0999999999999996</v>
      </c>
      <c r="F33" s="47">
        <v>2</v>
      </c>
      <c r="G33" s="47">
        <v>2</v>
      </c>
    </row>
    <row r="34" spans="1:7" ht="15.75" customHeight="1">
      <c r="A34" s="50"/>
      <c r="B34" s="52" t="s">
        <v>119</v>
      </c>
      <c r="C34" s="47" t="s">
        <v>90</v>
      </c>
      <c r="D34" s="47">
        <v>0.19</v>
      </c>
      <c r="E34" s="47">
        <v>0.13</v>
      </c>
      <c r="F34" s="47">
        <v>0.16</v>
      </c>
      <c r="G34" s="47">
        <v>0.16</v>
      </c>
    </row>
    <row r="35" spans="1:7" ht="15.75" customHeight="1">
      <c r="A35" s="50"/>
      <c r="B35" s="52" t="s">
        <v>197</v>
      </c>
      <c r="C35" s="47" t="s">
        <v>91</v>
      </c>
      <c r="D35" s="47">
        <v>872</v>
      </c>
      <c r="E35" s="47">
        <v>872</v>
      </c>
      <c r="F35" s="47">
        <v>872</v>
      </c>
      <c r="G35" s="47">
        <v>872</v>
      </c>
    </row>
    <row r="36" spans="1:7" ht="15.75" customHeight="1">
      <c r="A36" s="50"/>
      <c r="B36" s="52" t="s">
        <v>96</v>
      </c>
      <c r="C36" s="47" t="s">
        <v>92</v>
      </c>
      <c r="D36" s="47">
        <v>3.7</v>
      </c>
      <c r="E36" s="47">
        <v>3.8</v>
      </c>
      <c r="F36" s="47">
        <v>5.5</v>
      </c>
      <c r="G36" s="47">
        <v>5.5</v>
      </c>
    </row>
    <row r="37" spans="1:7" ht="15.75" customHeight="1">
      <c r="A37" s="50"/>
      <c r="B37" s="52" t="s">
        <v>123</v>
      </c>
      <c r="C37" s="47" t="s">
        <v>93</v>
      </c>
      <c r="D37" s="47"/>
      <c r="E37" s="47">
        <v>20</v>
      </c>
      <c r="F37" s="47">
        <v>20</v>
      </c>
      <c r="G37" s="47">
        <v>20</v>
      </c>
    </row>
    <row r="38" spans="1:7" ht="15.75" customHeight="1">
      <c r="A38" s="50"/>
      <c r="B38" s="52" t="s">
        <v>120</v>
      </c>
      <c r="C38" s="47" t="s">
        <v>94</v>
      </c>
      <c r="D38" s="47">
        <v>7.5</v>
      </c>
      <c r="E38" s="47">
        <v>6.9</v>
      </c>
      <c r="F38" s="47">
        <v>6.9</v>
      </c>
      <c r="G38" s="47">
        <v>6.9</v>
      </c>
    </row>
    <row r="39" spans="1:7" ht="15.75" customHeight="1">
      <c r="A39" s="50"/>
      <c r="B39" s="52" t="s">
        <v>97</v>
      </c>
      <c r="C39" s="47" t="s">
        <v>95</v>
      </c>
      <c r="D39" s="47">
        <v>88</v>
      </c>
      <c r="E39" s="47">
        <v>0</v>
      </c>
      <c r="F39" s="47">
        <v>0</v>
      </c>
      <c r="G39" s="47">
        <v>0</v>
      </c>
    </row>
    <row r="40" spans="1:7" ht="15.75" customHeight="1">
      <c r="A40" s="50"/>
      <c r="B40" s="52" t="s">
        <v>98</v>
      </c>
      <c r="C40" s="47" t="s">
        <v>100</v>
      </c>
      <c r="D40" s="47"/>
      <c r="E40" s="47"/>
      <c r="F40" s="47">
        <v>0</v>
      </c>
      <c r="G40" s="47">
        <v>0</v>
      </c>
    </row>
    <row r="41" spans="1:7" ht="15.75" customHeight="1">
      <c r="A41" s="50"/>
      <c r="B41" s="52" t="s">
        <v>99</v>
      </c>
      <c r="C41" s="47" t="s">
        <v>124</v>
      </c>
      <c r="D41" s="47"/>
      <c r="E41" s="47">
        <v>0</v>
      </c>
      <c r="F41" s="47">
        <v>0</v>
      </c>
      <c r="G41" s="47">
        <v>0</v>
      </c>
    </row>
    <row r="42" spans="1:7" ht="15.75" customHeight="1">
      <c r="A42" s="66"/>
      <c r="B42" s="75" t="s">
        <v>195</v>
      </c>
      <c r="C42" s="68" t="s">
        <v>127</v>
      </c>
      <c r="D42" s="70">
        <v>18</v>
      </c>
      <c r="E42" s="68">
        <v>18</v>
      </c>
      <c r="F42" s="68">
        <v>18</v>
      </c>
      <c r="G42" s="68">
        <v>18</v>
      </c>
    </row>
    <row r="43" spans="1:7">
      <c r="A43" s="53"/>
      <c r="B43" s="60"/>
      <c r="C43" s="341"/>
      <c r="D43" s="61"/>
      <c r="E43" s="62"/>
      <c r="F43" s="63"/>
      <c r="G43" s="63"/>
    </row>
  </sheetData>
  <mergeCells count="7">
    <mergeCell ref="E7:E8"/>
    <mergeCell ref="F7:F8"/>
    <mergeCell ref="G7:G8"/>
    <mergeCell ref="A7:A8"/>
    <mergeCell ref="B7:B8"/>
    <mergeCell ref="C7:C8"/>
    <mergeCell ref="D7:D8"/>
  </mergeCells>
  <phoneticPr fontId="1" type="noConversion"/>
  <pageMargins left="0.55118110236220474" right="0.55118110236220474" top="0.39370078740157483" bottom="0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1 lentelė</vt:lpstr>
      <vt:lpstr>bendras lėšų poreikis</vt:lpstr>
      <vt:lpstr>vertinimo kriterijai</vt:lpstr>
      <vt:lpstr>'1 lentelė'!Print_Area</vt:lpstr>
      <vt:lpstr>'1 lentelė'!Print_Titles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Snieguole Kacerauskaite</cp:lastModifiedBy>
  <cp:lastPrinted>2012-11-30T12:04:46Z</cp:lastPrinted>
  <dcterms:created xsi:type="dcterms:W3CDTF">2004-04-19T12:01:47Z</dcterms:created>
  <dcterms:modified xsi:type="dcterms:W3CDTF">2012-11-30T12:04:56Z</dcterms:modified>
</cp:coreProperties>
</file>