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45" windowWidth="19200" windowHeight="11760"/>
  </bookViews>
  <sheets>
    <sheet name="1 lentelė" sheetId="13" r:id="rId1"/>
    <sheet name="bendras lėšų poreikis" sheetId="9" r:id="rId2"/>
    <sheet name="vertinimo kriterijai" sheetId="15" r:id="rId3"/>
  </sheets>
  <definedNames>
    <definedName name="_xlnm._FilterDatabase" localSheetId="0" hidden="1">'1 lentelė'!$A$7:$AP$115</definedName>
    <definedName name="_xlnm._FilterDatabase" localSheetId="1" hidden="1">'bendras lėšų poreikis'!$A$1:$F$22</definedName>
    <definedName name="_xlnm.Print_Area" localSheetId="0">'1 lentelė'!$A$1:$V$131</definedName>
    <definedName name="_xlnm.Print_Titles" localSheetId="0">'1 lentelė'!$5:$7</definedName>
    <definedName name="_xlnm.Print_Titles" localSheetId="2">'vertinimo kriterijai'!$7:$8</definedName>
  </definedNames>
  <calcPr calcId="145621"/>
</workbook>
</file>

<file path=xl/calcChain.xml><?xml version="1.0" encoding="utf-8"?>
<calcChain xmlns="http://schemas.openxmlformats.org/spreadsheetml/2006/main">
  <c r="R20" i="13" l="1"/>
  <c r="T87" i="13"/>
  <c r="R18" i="13" l="1"/>
  <c r="R24" i="13"/>
  <c r="R23" i="13" l="1"/>
  <c r="S24" i="13" l="1"/>
  <c r="R30" i="13"/>
  <c r="Q41" i="13" l="1"/>
  <c r="R40" i="13"/>
  <c r="T110" i="13" l="1"/>
  <c r="V112" i="13"/>
  <c r="U112" i="13"/>
  <c r="T112" i="13"/>
  <c r="S112" i="13"/>
  <c r="R112" i="13"/>
  <c r="P112" i="13"/>
  <c r="O112" i="13"/>
  <c r="N112" i="13"/>
  <c r="L112" i="13"/>
  <c r="K112" i="13"/>
  <c r="J112" i="13"/>
  <c r="Q111" i="13"/>
  <c r="M111" i="13"/>
  <c r="I111" i="13"/>
  <c r="Q110" i="13"/>
  <c r="Q112" i="13" s="1"/>
  <c r="M110" i="13"/>
  <c r="I110" i="13"/>
  <c r="I112" i="13" s="1"/>
  <c r="T62" i="13"/>
  <c r="M112" i="13" l="1"/>
  <c r="R25" i="13"/>
  <c r="T25" i="13"/>
  <c r="R12" i="13"/>
  <c r="T12" i="13"/>
  <c r="Q30" i="13"/>
  <c r="E41" i="15"/>
  <c r="E33" i="15"/>
  <c r="Q20" i="13"/>
  <c r="V106" i="13"/>
  <c r="U106" i="13"/>
  <c r="T106" i="13"/>
  <c r="S106" i="13"/>
  <c r="R106" i="13"/>
  <c r="P106" i="13"/>
  <c r="O106" i="13"/>
  <c r="N106" i="13"/>
  <c r="L106" i="13"/>
  <c r="K106" i="13"/>
  <c r="J106" i="13"/>
  <c r="Q105" i="13"/>
  <c r="M105" i="13"/>
  <c r="I105" i="13"/>
  <c r="Q104" i="13"/>
  <c r="Q106" i="13" s="1"/>
  <c r="M104" i="13"/>
  <c r="M106" i="13" s="1"/>
  <c r="I104" i="13"/>
  <c r="I106" i="13" s="1"/>
  <c r="R34" i="13"/>
  <c r="R77" i="13"/>
  <c r="R71" i="13"/>
  <c r="V109" i="13"/>
  <c r="U109" i="13"/>
  <c r="T109" i="13"/>
  <c r="S109" i="13"/>
  <c r="P109" i="13"/>
  <c r="O109" i="13"/>
  <c r="N109" i="13"/>
  <c r="L109" i="13"/>
  <c r="K109" i="13"/>
  <c r="J109" i="13"/>
  <c r="Q108" i="13"/>
  <c r="M108" i="13"/>
  <c r="I108" i="13"/>
  <c r="R109" i="13"/>
  <c r="Q107" i="13"/>
  <c r="Q109" i="13" s="1"/>
  <c r="M107" i="13"/>
  <c r="M109" i="13" s="1"/>
  <c r="I107" i="13"/>
  <c r="I109" i="13" s="1"/>
  <c r="V54" i="13"/>
  <c r="V60" i="13" s="1"/>
  <c r="U54" i="13"/>
  <c r="U60" i="13" s="1"/>
  <c r="R54" i="13"/>
  <c r="R60" i="13" s="1"/>
  <c r="R69" i="13" s="1"/>
  <c r="N54" i="13"/>
  <c r="N60" i="13" s="1"/>
  <c r="V30" i="13"/>
  <c r="U30" i="13"/>
  <c r="N30" i="13"/>
  <c r="V25" i="13"/>
  <c r="V24" i="13"/>
  <c r="U25" i="13"/>
  <c r="P25" i="13"/>
  <c r="P29" i="13" s="1"/>
  <c r="O25" i="13"/>
  <c r="O24" i="13"/>
  <c r="N25" i="13"/>
  <c r="N24" i="13"/>
  <c r="N18" i="13"/>
  <c r="N12" i="13"/>
  <c r="J25" i="13"/>
  <c r="R82" i="13"/>
  <c r="J68" i="13"/>
  <c r="K68" i="13"/>
  <c r="L68" i="13"/>
  <c r="N68" i="13"/>
  <c r="O68" i="13"/>
  <c r="P68" i="13"/>
  <c r="R68" i="13"/>
  <c r="S68" i="13"/>
  <c r="T68" i="13"/>
  <c r="U68" i="13"/>
  <c r="V68" i="13"/>
  <c r="Q82" i="13"/>
  <c r="R17" i="13"/>
  <c r="Q67" i="13"/>
  <c r="M67" i="13"/>
  <c r="I67" i="13"/>
  <c r="Q87" i="13"/>
  <c r="M87" i="13"/>
  <c r="I87" i="13"/>
  <c r="Q86" i="13"/>
  <c r="M86" i="13"/>
  <c r="I86" i="13"/>
  <c r="Q90" i="13"/>
  <c r="M90" i="13"/>
  <c r="I90" i="13"/>
  <c r="Q96" i="13"/>
  <c r="M96" i="13"/>
  <c r="I96" i="13"/>
  <c r="F16" i="9"/>
  <c r="E16" i="9"/>
  <c r="U24" i="13"/>
  <c r="J98" i="13"/>
  <c r="K98" i="13"/>
  <c r="L98" i="13"/>
  <c r="N98" i="13"/>
  <c r="O98" i="13"/>
  <c r="P98" i="13"/>
  <c r="R98" i="13"/>
  <c r="S98" i="13"/>
  <c r="T98" i="13"/>
  <c r="U98" i="13"/>
  <c r="V98" i="13"/>
  <c r="J44" i="13"/>
  <c r="K44" i="13"/>
  <c r="L44" i="13"/>
  <c r="N44" i="13"/>
  <c r="O44" i="13"/>
  <c r="P44" i="13"/>
  <c r="R44" i="13"/>
  <c r="S44" i="13"/>
  <c r="T44" i="13"/>
  <c r="U44" i="13"/>
  <c r="V44" i="13"/>
  <c r="Q43" i="13"/>
  <c r="M43" i="13"/>
  <c r="I43" i="13"/>
  <c r="Q102" i="13"/>
  <c r="M102" i="13"/>
  <c r="I102" i="13"/>
  <c r="J103" i="13"/>
  <c r="K103" i="13"/>
  <c r="L103" i="13"/>
  <c r="N103" i="13"/>
  <c r="O103" i="13"/>
  <c r="P103" i="13"/>
  <c r="R103" i="13"/>
  <c r="S103" i="13"/>
  <c r="T103" i="13"/>
  <c r="U103" i="13"/>
  <c r="V103" i="13"/>
  <c r="V94" i="13"/>
  <c r="U94" i="13"/>
  <c r="T94" i="13"/>
  <c r="S94" i="13"/>
  <c r="R94" i="13"/>
  <c r="P94" i="13"/>
  <c r="O94" i="13"/>
  <c r="N94" i="13"/>
  <c r="J94" i="13"/>
  <c r="K94" i="13"/>
  <c r="L94" i="13"/>
  <c r="Q93" i="13"/>
  <c r="M93" i="13"/>
  <c r="I93" i="13"/>
  <c r="T60" i="13"/>
  <c r="S60" i="13"/>
  <c r="P60" i="13"/>
  <c r="O60" i="13"/>
  <c r="L60" i="13"/>
  <c r="K60" i="13"/>
  <c r="J60" i="13"/>
  <c r="I46" i="13"/>
  <c r="Q46" i="13"/>
  <c r="N48" i="13"/>
  <c r="M46" i="13"/>
  <c r="M45" i="13"/>
  <c r="M34" i="13"/>
  <c r="V51" i="13"/>
  <c r="U51" i="13"/>
  <c r="T51" i="13"/>
  <c r="S51" i="13"/>
  <c r="R51" i="13"/>
  <c r="P51" i="13"/>
  <c r="O51" i="13"/>
  <c r="N51" i="13"/>
  <c r="L51" i="13"/>
  <c r="K51" i="13"/>
  <c r="J51" i="13"/>
  <c r="Q50" i="13"/>
  <c r="M50" i="13"/>
  <c r="I50" i="13"/>
  <c r="Q49" i="13"/>
  <c r="M49" i="13"/>
  <c r="M51" i="13" s="1"/>
  <c r="I49" i="13"/>
  <c r="V48" i="13"/>
  <c r="U48" i="13"/>
  <c r="T48" i="13"/>
  <c r="S48" i="13"/>
  <c r="R48" i="13"/>
  <c r="P48" i="13"/>
  <c r="O48" i="13"/>
  <c r="L48" i="13"/>
  <c r="K48" i="13"/>
  <c r="J48" i="13"/>
  <c r="Q47" i="13"/>
  <c r="M47" i="13"/>
  <c r="I47" i="13"/>
  <c r="Q45" i="13"/>
  <c r="I45" i="13"/>
  <c r="V76" i="13"/>
  <c r="U76" i="13"/>
  <c r="T76" i="13"/>
  <c r="S76" i="13"/>
  <c r="R76" i="13"/>
  <c r="P76" i="13"/>
  <c r="O76" i="13"/>
  <c r="N76" i="13"/>
  <c r="L76" i="13"/>
  <c r="K76" i="13"/>
  <c r="J76" i="13"/>
  <c r="Q74" i="13"/>
  <c r="M74" i="13"/>
  <c r="I74" i="13"/>
  <c r="I26" i="13"/>
  <c r="M26" i="13"/>
  <c r="Q26" i="13"/>
  <c r="V29" i="13"/>
  <c r="T29" i="13"/>
  <c r="S29" i="13"/>
  <c r="R29" i="13"/>
  <c r="O29" i="13"/>
  <c r="L29" i="13"/>
  <c r="K29" i="13"/>
  <c r="J29" i="13"/>
  <c r="V23" i="13"/>
  <c r="U23" i="13"/>
  <c r="T23" i="13"/>
  <c r="S23" i="13"/>
  <c r="P23" i="13"/>
  <c r="O23" i="13"/>
  <c r="N23" i="13"/>
  <c r="L23" i="13"/>
  <c r="K23" i="13"/>
  <c r="J23" i="13"/>
  <c r="V17" i="13"/>
  <c r="U17" i="13"/>
  <c r="T17" i="13"/>
  <c r="S17" i="13"/>
  <c r="P17" i="13"/>
  <c r="O17" i="13"/>
  <c r="N17" i="13"/>
  <c r="L17" i="13"/>
  <c r="K17" i="13"/>
  <c r="J17" i="13"/>
  <c r="F22" i="9"/>
  <c r="F21" i="9"/>
  <c r="F20" i="9"/>
  <c r="F19" i="9"/>
  <c r="E22" i="9"/>
  <c r="E21" i="9"/>
  <c r="E20" i="9"/>
  <c r="E19" i="9"/>
  <c r="F17" i="9"/>
  <c r="F15" i="9"/>
  <c r="F14" i="9"/>
  <c r="F13" i="9"/>
  <c r="E17" i="9"/>
  <c r="E15" i="9"/>
  <c r="E14" i="9"/>
  <c r="E13" i="9"/>
  <c r="V79" i="13"/>
  <c r="U79" i="13"/>
  <c r="T79" i="13"/>
  <c r="S79" i="13"/>
  <c r="R79" i="13"/>
  <c r="P79" i="13"/>
  <c r="O79" i="13"/>
  <c r="N79" i="13"/>
  <c r="L79" i="13"/>
  <c r="K79" i="13"/>
  <c r="J79" i="13"/>
  <c r="Q78" i="13"/>
  <c r="Q77" i="13"/>
  <c r="Q75" i="13"/>
  <c r="Q76" i="13" s="1"/>
  <c r="M78" i="13"/>
  <c r="M77" i="13"/>
  <c r="M75" i="13"/>
  <c r="M76" i="13" s="1"/>
  <c r="I78" i="13"/>
  <c r="I77" i="13"/>
  <c r="I75" i="13"/>
  <c r="I76" i="13" s="1"/>
  <c r="V39" i="13"/>
  <c r="U39" i="13"/>
  <c r="T39" i="13"/>
  <c r="S39" i="13"/>
  <c r="R39" i="13"/>
  <c r="P39" i="13"/>
  <c r="O39" i="13"/>
  <c r="N39" i="13"/>
  <c r="L39" i="13"/>
  <c r="K39" i="13"/>
  <c r="J39" i="13"/>
  <c r="Q38" i="13"/>
  <c r="Q37" i="13"/>
  <c r="Q101" i="13"/>
  <c r="Q100" i="13"/>
  <c r="Q99" i="13"/>
  <c r="Q97" i="13"/>
  <c r="Q95" i="13"/>
  <c r="Q85" i="13"/>
  <c r="Q88" i="13" s="1"/>
  <c r="Q83" i="13"/>
  <c r="Q84" i="13" s="1"/>
  <c r="M38" i="13"/>
  <c r="M37" i="13"/>
  <c r="I38" i="13"/>
  <c r="I37" i="13"/>
  <c r="V88" i="13"/>
  <c r="U88" i="13"/>
  <c r="T88" i="13"/>
  <c r="S88" i="13"/>
  <c r="R88" i="13"/>
  <c r="P88" i="13"/>
  <c r="O88" i="13"/>
  <c r="N88" i="13"/>
  <c r="L88" i="13"/>
  <c r="K88" i="13"/>
  <c r="J88" i="13"/>
  <c r="V84" i="13"/>
  <c r="U84" i="13"/>
  <c r="T84" i="13"/>
  <c r="S84" i="13"/>
  <c r="P84" i="13"/>
  <c r="O84" i="13"/>
  <c r="N84" i="13"/>
  <c r="L84" i="13"/>
  <c r="K84" i="13"/>
  <c r="J84" i="13"/>
  <c r="M92" i="13"/>
  <c r="M100" i="13"/>
  <c r="M99" i="13"/>
  <c r="M97" i="13"/>
  <c r="M95" i="13"/>
  <c r="M89" i="13"/>
  <c r="M85" i="13"/>
  <c r="M83" i="13"/>
  <c r="M82" i="13"/>
  <c r="I101" i="13"/>
  <c r="I100" i="13"/>
  <c r="I99" i="13"/>
  <c r="I103" i="13" s="1"/>
  <c r="I97" i="13"/>
  <c r="I95" i="13"/>
  <c r="I89" i="13"/>
  <c r="I85" i="13"/>
  <c r="B20" i="9"/>
  <c r="I83" i="13"/>
  <c r="I82" i="13"/>
  <c r="V64" i="13"/>
  <c r="U64" i="13"/>
  <c r="U69" i="13" s="1"/>
  <c r="T64" i="13"/>
  <c r="S64" i="13"/>
  <c r="S69" i="13" s="1"/>
  <c r="R64" i="13"/>
  <c r="P64" i="13"/>
  <c r="O64" i="13"/>
  <c r="N64" i="13"/>
  <c r="L64" i="13"/>
  <c r="K64" i="13"/>
  <c r="J64" i="13"/>
  <c r="O69" i="13"/>
  <c r="L69" i="13"/>
  <c r="Q63" i="13"/>
  <c r="Q125" i="13" s="1"/>
  <c r="Q66" i="13"/>
  <c r="Q65" i="13"/>
  <c r="D22" i="9"/>
  <c r="Q62" i="13"/>
  <c r="Q61" i="13"/>
  <c r="Q55" i="13"/>
  <c r="Q54" i="13"/>
  <c r="M66" i="13"/>
  <c r="M65" i="13"/>
  <c r="M130" i="13"/>
  <c r="C22" i="9"/>
  <c r="M62" i="13"/>
  <c r="M124" i="13" s="1"/>
  <c r="M61" i="13"/>
  <c r="M55" i="13"/>
  <c r="M54" i="13"/>
  <c r="I63" i="13"/>
  <c r="B17" i="9" s="1"/>
  <c r="I66" i="13"/>
  <c r="I65" i="13"/>
  <c r="I130" i="13"/>
  <c r="B22" i="9"/>
  <c r="I62" i="13"/>
  <c r="I124" i="13" s="1"/>
  <c r="I61" i="13"/>
  <c r="I55" i="13"/>
  <c r="I54" i="13"/>
  <c r="I60" i="13" s="1"/>
  <c r="V36" i="13"/>
  <c r="U36" i="13"/>
  <c r="T36" i="13"/>
  <c r="S36" i="13"/>
  <c r="R36" i="13"/>
  <c r="P36" i="13"/>
  <c r="O36" i="13"/>
  <c r="N36" i="13"/>
  <c r="L36" i="13"/>
  <c r="K36" i="13"/>
  <c r="J36" i="13"/>
  <c r="Q35" i="13"/>
  <c r="Q34" i="13"/>
  <c r="M35" i="13"/>
  <c r="M36" i="13" s="1"/>
  <c r="I35" i="13"/>
  <c r="I34" i="13"/>
  <c r="V73" i="13"/>
  <c r="V80" i="13" s="1"/>
  <c r="U73" i="13"/>
  <c r="T73" i="13"/>
  <c r="T80" i="13" s="1"/>
  <c r="S73" i="13"/>
  <c r="S80" i="13" s="1"/>
  <c r="R73" i="13"/>
  <c r="R80" i="13" s="1"/>
  <c r="P73" i="13"/>
  <c r="O73" i="13"/>
  <c r="O80" i="13" s="1"/>
  <c r="N73" i="13"/>
  <c r="N80" i="13" s="1"/>
  <c r="L73" i="13"/>
  <c r="K73" i="13"/>
  <c r="J73" i="13"/>
  <c r="Q42" i="13"/>
  <c r="Q40" i="13"/>
  <c r="Q72" i="13"/>
  <c r="Q71" i="13"/>
  <c r="M42" i="13"/>
  <c r="C19" i="9" s="1"/>
  <c r="M40" i="13"/>
  <c r="M72" i="13"/>
  <c r="M71" i="13"/>
  <c r="I42" i="13"/>
  <c r="I40" i="13"/>
  <c r="I44" i="13"/>
  <c r="I72" i="13"/>
  <c r="I71" i="13"/>
  <c r="I73" i="13" s="1"/>
  <c r="V33" i="13"/>
  <c r="V52" i="13"/>
  <c r="U33" i="13"/>
  <c r="T33" i="13"/>
  <c r="S33" i="13"/>
  <c r="R33" i="13"/>
  <c r="R52" i="13" s="1"/>
  <c r="P33" i="13"/>
  <c r="P52" i="13"/>
  <c r="O33" i="13"/>
  <c r="N33" i="13"/>
  <c r="L33" i="13"/>
  <c r="K33" i="13"/>
  <c r="J33" i="13"/>
  <c r="Q31" i="13"/>
  <c r="Q25" i="13"/>
  <c r="Q24" i="13"/>
  <c r="Q19" i="13"/>
  <c r="Q18" i="13"/>
  <c r="Q23" i="13" s="1"/>
  <c r="M31" i="13"/>
  <c r="M30" i="13"/>
  <c r="M25" i="13"/>
  <c r="M24" i="13"/>
  <c r="M19" i="13"/>
  <c r="M18" i="13"/>
  <c r="I31" i="13"/>
  <c r="I30" i="13"/>
  <c r="I33" i="13" s="1"/>
  <c r="I25" i="13"/>
  <c r="I24" i="13"/>
  <c r="I19" i="13"/>
  <c r="I18" i="13"/>
  <c r="I23" i="13" s="1"/>
  <c r="Q13" i="13"/>
  <c r="Q12" i="13"/>
  <c r="M13" i="13"/>
  <c r="M12" i="13"/>
  <c r="Q89" i="13"/>
  <c r="I13" i="13"/>
  <c r="M123" i="13"/>
  <c r="I12" i="13"/>
  <c r="I17" i="13" s="1"/>
  <c r="I123" i="13"/>
  <c r="I92" i="13"/>
  <c r="I128" i="13"/>
  <c r="I91" i="13"/>
  <c r="I94" i="13"/>
  <c r="B21" i="9"/>
  <c r="M91" i="13"/>
  <c r="M94" i="13" s="1"/>
  <c r="M101" i="13"/>
  <c r="Q91" i="13"/>
  <c r="Q127" i="13" s="1"/>
  <c r="Q92" i="13"/>
  <c r="Q129" i="13" s="1"/>
  <c r="Q123" i="13"/>
  <c r="M128" i="13"/>
  <c r="M122" i="13"/>
  <c r="J69" i="13"/>
  <c r="I84" i="13"/>
  <c r="Q17" i="13"/>
  <c r="I125" i="13"/>
  <c r="C20" i="9"/>
  <c r="D20" i="9"/>
  <c r="Q128" i="13"/>
  <c r="C17" i="9"/>
  <c r="M39" i="13"/>
  <c r="M125" i="13"/>
  <c r="J80" i="13"/>
  <c r="B14" i="9"/>
  <c r="B13" i="9"/>
  <c r="K80" i="13"/>
  <c r="P80" i="13"/>
  <c r="K69" i="13"/>
  <c r="T69" i="13"/>
  <c r="Q64" i="13"/>
  <c r="I88" i="13"/>
  <c r="C14" i="9"/>
  <c r="Q122" i="13"/>
  <c r="L80" i="13"/>
  <c r="I48" i="13"/>
  <c r="I122" i="13"/>
  <c r="U80" i="13"/>
  <c r="M127" i="13"/>
  <c r="I127" i="13"/>
  <c r="M33" i="13"/>
  <c r="Q29" i="13"/>
  <c r="N69" i="13"/>
  <c r="M88" i="13"/>
  <c r="Q39" i="13"/>
  <c r="I121" i="13"/>
  <c r="M29" i="13"/>
  <c r="M23" i="13"/>
  <c r="D17" i="9"/>
  <c r="D14" i="9"/>
  <c r="M129" i="13"/>
  <c r="M48" i="13"/>
  <c r="C13" i="9"/>
  <c r="J52" i="13"/>
  <c r="K52" i="13"/>
  <c r="L52" i="13"/>
  <c r="O52" i="13"/>
  <c r="T52" i="13"/>
  <c r="Q124" i="13"/>
  <c r="M44" i="13"/>
  <c r="M103" i="13"/>
  <c r="B16" i="9"/>
  <c r="C16" i="9"/>
  <c r="D16" i="9"/>
  <c r="Q98" i="13"/>
  <c r="Q103" i="13"/>
  <c r="Q130" i="13"/>
  <c r="Q94" i="13"/>
  <c r="R84" i="13"/>
  <c r="P69" i="13"/>
  <c r="Q44" i="13"/>
  <c r="Q36" i="13"/>
  <c r="B19" i="9" l="1"/>
  <c r="F12" i="9"/>
  <c r="F18" i="9"/>
  <c r="S52" i="13"/>
  <c r="D19" i="9"/>
  <c r="M64" i="13"/>
  <c r="M68" i="13"/>
  <c r="Q60" i="13"/>
  <c r="V69" i="13"/>
  <c r="Q113" i="13"/>
  <c r="K113" i="13"/>
  <c r="N113" i="13"/>
  <c r="P113" i="13"/>
  <c r="T113" i="13"/>
  <c r="T114" i="13" s="1"/>
  <c r="T115" i="13" s="1"/>
  <c r="D10" i="9" s="1"/>
  <c r="V113" i="13"/>
  <c r="M121" i="13"/>
  <c r="M120" i="13" s="1"/>
  <c r="M73" i="13"/>
  <c r="M84" i="13"/>
  <c r="M98" i="13"/>
  <c r="I39" i="13"/>
  <c r="B15" i="9"/>
  <c r="I79" i="13"/>
  <c r="I80" i="13" s="1"/>
  <c r="C15" i="9"/>
  <c r="M79" i="13"/>
  <c r="D15" i="9"/>
  <c r="Q79" i="13"/>
  <c r="I51" i="13"/>
  <c r="Q51" i="13"/>
  <c r="M113" i="13"/>
  <c r="R113" i="13"/>
  <c r="J113" i="13"/>
  <c r="L113" i="13"/>
  <c r="L114" i="13" s="1"/>
  <c r="L115" i="13" s="1"/>
  <c r="B10" i="9" s="1"/>
  <c r="O113" i="13"/>
  <c r="S113" i="13"/>
  <c r="S114" i="13" s="1"/>
  <c r="S115" i="13" s="1"/>
  <c r="D9" i="9" s="1"/>
  <c r="U113" i="13"/>
  <c r="E12" i="9"/>
  <c r="C12" i="9"/>
  <c r="B18" i="9"/>
  <c r="M126" i="13"/>
  <c r="D21" i="9"/>
  <c r="D18" i="9" s="1"/>
  <c r="M17" i="13"/>
  <c r="M52" i="13" s="1"/>
  <c r="I129" i="13"/>
  <c r="I126" i="13" s="1"/>
  <c r="C21" i="9"/>
  <c r="C18" i="9" s="1"/>
  <c r="C11" i="9" s="1"/>
  <c r="I29" i="13"/>
  <c r="Q73" i="13"/>
  <c r="Q80" i="13" s="1"/>
  <c r="I36" i="13"/>
  <c r="I64" i="13"/>
  <c r="I68" i="13"/>
  <c r="I69" i="13" s="1"/>
  <c r="M60" i="13"/>
  <c r="M69" i="13" s="1"/>
  <c r="Q68" i="13"/>
  <c r="I98" i="13"/>
  <c r="I113" i="13" s="1"/>
  <c r="E18" i="9"/>
  <c r="Q48" i="13"/>
  <c r="N29" i="13"/>
  <c r="N52" i="13" s="1"/>
  <c r="N114" i="13" s="1"/>
  <c r="N115" i="13" s="1"/>
  <c r="C8" i="9" s="1"/>
  <c r="U29" i="13"/>
  <c r="U52" i="13" s="1"/>
  <c r="B12" i="9"/>
  <c r="Q69" i="13"/>
  <c r="F11" i="9"/>
  <c r="I52" i="13"/>
  <c r="I120" i="13"/>
  <c r="U114" i="13"/>
  <c r="U115" i="13" s="1"/>
  <c r="E7" i="9" s="1"/>
  <c r="O114" i="13"/>
  <c r="O115" i="13" s="1"/>
  <c r="C9" i="9" s="1"/>
  <c r="R114" i="13"/>
  <c r="R115" i="13" s="1"/>
  <c r="D8" i="9" s="1"/>
  <c r="V114" i="13"/>
  <c r="V115" i="13" s="1"/>
  <c r="F7" i="9" s="1"/>
  <c r="J114" i="13"/>
  <c r="J115" i="13" s="1"/>
  <c r="B8" i="9" s="1"/>
  <c r="K114" i="13"/>
  <c r="K115" i="13" s="1"/>
  <c r="B9" i="9" s="1"/>
  <c r="P114" i="13"/>
  <c r="P115" i="13" s="1"/>
  <c r="C10" i="9" s="1"/>
  <c r="Q126" i="13"/>
  <c r="Q33" i="13"/>
  <c r="D13" i="9"/>
  <c r="D12" i="9" s="1"/>
  <c r="Q121" i="13"/>
  <c r="Q120" i="13" s="1"/>
  <c r="I131" i="13" l="1"/>
  <c r="M80" i="13"/>
  <c r="Q131" i="13"/>
  <c r="E11" i="9"/>
  <c r="D7" i="9"/>
  <c r="D11" i="9"/>
  <c r="C7" i="9"/>
  <c r="B11" i="9"/>
  <c r="M114" i="13"/>
  <c r="M115" i="13" s="1"/>
  <c r="Q52" i="13"/>
  <c r="Q114" i="13" s="1"/>
  <c r="Q115" i="13" s="1"/>
  <c r="M131" i="13"/>
  <c r="B7" i="9"/>
  <c r="I114" i="13"/>
  <c r="I115" i="13" s="1"/>
</calcChain>
</file>

<file path=xl/sharedStrings.xml><?xml version="1.0" encoding="utf-8"?>
<sst xmlns="http://schemas.openxmlformats.org/spreadsheetml/2006/main" count="441" uniqueCount="225">
  <si>
    <t>Programos tikslo kodas</t>
  </si>
  <si>
    <t>Uždavinio kodas</t>
  </si>
  <si>
    <t>Priemonės kodas</t>
  </si>
  <si>
    <t>Asignavimų valdytojo kodas</t>
  </si>
  <si>
    <t>Finansavimo šaltinis</t>
  </si>
  <si>
    <t>Iš viso</t>
  </si>
  <si>
    <t>Išlaidoms</t>
  </si>
  <si>
    <t>01</t>
  </si>
  <si>
    <t>02</t>
  </si>
  <si>
    <t>03</t>
  </si>
  <si>
    <t>SB</t>
  </si>
  <si>
    <t>04</t>
  </si>
  <si>
    <t>05</t>
  </si>
  <si>
    <t>06</t>
  </si>
  <si>
    <t>07</t>
  </si>
  <si>
    <t>08</t>
  </si>
  <si>
    <t>Identifikuota naminių gyvūnų, vnt.</t>
  </si>
  <si>
    <t>PF</t>
  </si>
  <si>
    <t>Iš viso uždaviniui:</t>
  </si>
  <si>
    <t>Iš viso:</t>
  </si>
  <si>
    <t>Iš viso tikslui:</t>
  </si>
  <si>
    <t>I</t>
  </si>
  <si>
    <t>Iš viso programai:</t>
  </si>
  <si>
    <t>Ekonominės klasifikacijos grupės</t>
  </si>
  <si>
    <t>1.2. turtui įsigyti ir finansiniams įsipareigojimams vykdyti</t>
  </si>
  <si>
    <t>Lietaus nuotekų tinklų eksploatacija ir einamasis remontas</t>
  </si>
  <si>
    <t>Finansavimo šaltiniai</t>
  </si>
  <si>
    <t>Eksploatuojama šviestuvų, tūkst. vnt.</t>
  </si>
  <si>
    <r>
      <t xml:space="preserve">Savivaldybės privatizavimo fondo lėšos </t>
    </r>
    <r>
      <rPr>
        <b/>
        <sz val="9"/>
        <rFont val="Times New Roman"/>
        <family val="1"/>
      </rPr>
      <t>PF</t>
    </r>
  </si>
  <si>
    <t>Kt</t>
  </si>
  <si>
    <t>SAVIVALDYBĖS  LĖŠOS, IŠ VISO: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</si>
  <si>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</si>
  <si>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t>KITI ŠALTINIAI, IŠ VISO:</t>
  </si>
  <si>
    <t>IŠ VISO:</t>
  </si>
  <si>
    <t>Finansavimo šaltinių suvestinė</t>
  </si>
  <si>
    <t>tūkst. Lt</t>
  </si>
  <si>
    <t>1. IŠ VISO LĖŠŲ POREIKIS:</t>
  </si>
  <si>
    <t>1.1. išlaidoms</t>
  </si>
  <si>
    <t>1.1.1. iš jų darbo užmokesčiui</t>
  </si>
  <si>
    <t>2. FINANSAVIMO ŠALTINIAI:</t>
  </si>
  <si>
    <t>2.1. SAVIVALDYBĖS  LĖŠOS, IŠ VISO:</t>
  </si>
  <si>
    <t>2.2. KITI ŠALTINIAI, IŠ VISO:</t>
  </si>
  <si>
    <t>Pavadinimas</t>
  </si>
  <si>
    <t>1</t>
  </si>
  <si>
    <t>10</t>
  </si>
  <si>
    <t>Strateginis tikslas 02. Kurti mieste patrauklią, švarią ir saugią gyvenamąją aplinką</t>
  </si>
  <si>
    <t>LRVB</t>
  </si>
  <si>
    <t>Lėbartų kapinių V-B, VI, VIII-A, VII-B eilės ir kolumbariumo statybos techninio projekto parengimas ir įgyvendinimas</t>
  </si>
  <si>
    <t>ES</t>
  </si>
  <si>
    <r>
      <t xml:space="preserve">Valstybės biudžeto lėšos </t>
    </r>
    <r>
      <rPr>
        <b/>
        <sz val="9"/>
        <rFont val="Times New Roman"/>
        <family val="1"/>
        <charset val="186"/>
      </rPr>
      <t>LRVB</t>
    </r>
  </si>
  <si>
    <r>
      <t>Europos Sąjungos paramos lėšos</t>
    </r>
    <r>
      <rPr>
        <b/>
        <sz val="9"/>
        <rFont val="Times New Roman"/>
        <family val="1"/>
      </rPr>
      <t xml:space="preserve"> ES</t>
    </r>
  </si>
  <si>
    <r>
      <t xml:space="preserve">2.2.1. Europos Sąjungos paramos lėšos </t>
    </r>
    <r>
      <rPr>
        <b/>
        <sz val="10"/>
        <rFont val="Times New Roman"/>
        <family val="1"/>
      </rPr>
      <t>ES</t>
    </r>
  </si>
  <si>
    <t>07 Miesto infrastruktūros objektų priežiūros ir modernizavimo programa</t>
  </si>
  <si>
    <t>KPP</t>
  </si>
  <si>
    <r>
      <t xml:space="preserve">Kelių priežiūros ir plėtros programos lėšos </t>
    </r>
    <r>
      <rPr>
        <b/>
        <sz val="9"/>
        <rFont val="Times New Roman"/>
        <family val="1"/>
        <charset val="186"/>
      </rPr>
      <t>KPP</t>
    </r>
  </si>
  <si>
    <r>
      <t xml:space="preserve">2.2.2. Kelių priežiūros ir plėtros programos lėšos </t>
    </r>
    <r>
      <rPr>
        <b/>
        <sz val="10"/>
        <rFont val="Times New Roman"/>
        <family val="1"/>
      </rPr>
      <t>KPP</t>
    </r>
  </si>
  <si>
    <t>Savivaldybei priskirtų daugiabučių namų kiemų teritorijų sanitarinis valymas (šaligatvių, asfaltuotų, žvyruotų dangų, žaliųjų plotų valymas ir šienavimas)</t>
  </si>
  <si>
    <t>Rekonstruota nuotekų tinklų, km</t>
  </si>
  <si>
    <t>Priemonės požymis</t>
  </si>
  <si>
    <t>Utilizuota gyvūnų, t</t>
  </si>
  <si>
    <t>5</t>
  </si>
  <si>
    <t>Vaikų žaidimo aikštelių daugiabučių namų kiemuose atnaujinimas ir remontas</t>
  </si>
  <si>
    <t>VERTINIMO KRITERIJŲ SUVESTINĖ</t>
  </si>
  <si>
    <t>2 lentelė</t>
  </si>
  <si>
    <t>KURTI MIESTE PATRAUKLIĄ, ŠVARIĄ IR SAUGIĄ GYVENAMĄJĄ APLINKĄ</t>
  </si>
  <si>
    <t xml:space="preserve">Kodas </t>
  </si>
  <si>
    <t>(Savivaldybės strateginio tikslo pavadinimas)</t>
  </si>
  <si>
    <t>(Programos, skirtos šiam strateginiam tikslui įgyvendinti, pavadinimas)</t>
  </si>
  <si>
    <t>Įgyvendinamas įstaigos strateginio tikslo kodas, programos kodas</t>
  </si>
  <si>
    <t>Vertinimo kriterijus</t>
  </si>
  <si>
    <t>Vertinimo kriterijaus kodas</t>
  </si>
  <si>
    <t>Rezultato:</t>
  </si>
  <si>
    <t>1-ajam programos tikslui</t>
  </si>
  <si>
    <t>Produkto:</t>
  </si>
  <si>
    <t>1-ajam uždaviniui</t>
  </si>
  <si>
    <t>2-ajam uždaviniui</t>
  </si>
  <si>
    <t>02.07</t>
  </si>
  <si>
    <t>2012-ųjų metų planas</t>
  </si>
  <si>
    <t>R-07-01-01</t>
  </si>
  <si>
    <t>P-07-01-02-01</t>
  </si>
  <si>
    <t>Daugiabučių namų savininkų bendrijų (DNSB), modernizuojančių bendrojo naudojimo objektus, rėmimas</t>
  </si>
  <si>
    <t>Nutiesta vandentiekio tinklų, km</t>
  </si>
  <si>
    <t>Nutiesta  nuotekų tinklų, km</t>
  </si>
  <si>
    <t>330</t>
  </si>
  <si>
    <t>Tvarkoma gėlynų, kv. m</t>
  </si>
  <si>
    <t>Prižiūrima gazonų, kv. m</t>
  </si>
  <si>
    <t>Prižiūrima gyvatvorės, kv. m</t>
  </si>
  <si>
    <t xml:space="preserve">Programos (Nr. 07)  lėšų  poreikis ir numatomi finansavimo šaltiniai       </t>
  </si>
  <si>
    <r>
      <t xml:space="preserve">KLAIPĖDOS MIESTO SAVIVALDYBĖS MIESTO </t>
    </r>
    <r>
      <rPr>
        <b/>
        <sz val="10"/>
        <rFont val="Times New Roman"/>
        <family val="1"/>
        <charset val="186"/>
      </rPr>
      <t>INFRASTRUKTŪROS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  <charset val="186"/>
      </rPr>
      <t>OBJEKTŲ</t>
    </r>
    <r>
      <rPr>
        <b/>
        <sz val="10"/>
        <rFont val="Times New Roman"/>
        <family val="1"/>
      </rPr>
      <t xml:space="preserve"> </t>
    </r>
    <r>
      <rPr>
        <b/>
        <sz val="10"/>
        <rFont val="Times New Roman"/>
        <family val="1"/>
        <charset val="186"/>
      </rPr>
      <t>PRIEŽIŪROS</t>
    </r>
    <r>
      <rPr>
        <b/>
        <sz val="10"/>
        <rFont val="Times New Roman"/>
        <family val="1"/>
      </rPr>
      <t xml:space="preserve"> IR MODERNIZAVIMO PROGRAMA</t>
    </r>
  </si>
  <si>
    <t>3-iajam uždaviniui</t>
  </si>
  <si>
    <r>
      <t xml:space="preserve">2.2.3. </t>
    </r>
    <r>
      <rPr>
        <sz val="10"/>
        <rFont val="Times New Roman"/>
        <family val="1"/>
        <charset val="186"/>
      </rPr>
      <t>valstybės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LRVB</t>
    </r>
  </si>
  <si>
    <t>Prižiūrima kapinių (tarp jų ir senųjų kapinaičių), sk.</t>
  </si>
  <si>
    <t>2012-ųjų metų asignavimų planas</t>
  </si>
  <si>
    <t>Turtui įsigyti ir finansiniams įsipareigojimams vykdyti</t>
  </si>
  <si>
    <t>Iš jų darbo užmokesčiui</t>
  </si>
  <si>
    <t>Projektas 2013-iesiems metams</t>
  </si>
  <si>
    <t>2013-ųjų metų planas</t>
  </si>
  <si>
    <t>Atnaujinta vaikų žaidimo aikštelių, vnt.</t>
  </si>
  <si>
    <t>Eksploatuoti, remontuoti ir plėtoti inžinerinio aprūpinimo sistemas</t>
  </si>
  <si>
    <t>P4</t>
  </si>
  <si>
    <t xml:space="preserve"> P3.2.1.9. </t>
  </si>
  <si>
    <t xml:space="preserve">P4.5.2.1. </t>
  </si>
  <si>
    <t xml:space="preserve"> P3.3.2.5. </t>
  </si>
  <si>
    <t>P2.2.2.6</t>
  </si>
  <si>
    <t>P4.1.1.1</t>
  </si>
  <si>
    <t>SB(F)</t>
  </si>
  <si>
    <r>
      <t xml:space="preserve">Daugiabučių namų savininkų bendrijų fondo lėšos </t>
    </r>
    <r>
      <rPr>
        <b/>
        <sz val="9"/>
        <rFont val="Times New Roman"/>
        <family val="1"/>
        <charset val="186"/>
      </rPr>
      <t>SB(F)</t>
    </r>
  </si>
  <si>
    <t>R-07-01-02</t>
  </si>
  <si>
    <t>R-07-01-03</t>
  </si>
  <si>
    <t>P-07-01-03-01</t>
  </si>
  <si>
    <t>Prižiūrimų paplūdimių, kopų ir prieškopių plotas, tūkst. kv. m</t>
  </si>
  <si>
    <t>Miesto viešų teritorijų inventoriaus priežiūra, įrengimas ir įsigijimas</t>
  </si>
  <si>
    <t>Integruotos stebėjimo sistemos viešose vietose nuoma ir retransliuojamo vaizdo stebėjimo paslaugos pirkimas</t>
  </si>
  <si>
    <t>Valoma teritorijos, tūkst. kv. m</t>
  </si>
  <si>
    <t xml:space="preserve">Įsigyta konteinerinių automatinių tualetų, vnt. </t>
  </si>
  <si>
    <t>6</t>
  </si>
  <si>
    <t>SB(SP)</t>
  </si>
  <si>
    <r>
      <t xml:space="preserve">Pajamų įmokos už atsitiktines paslaugas </t>
    </r>
    <r>
      <rPr>
        <b/>
        <sz val="9"/>
        <rFont val="Times New Roman"/>
        <family val="1"/>
      </rPr>
      <t>SB(SP)</t>
    </r>
  </si>
  <si>
    <t>Suvartota el. energijos miesto gatvių apšvietimui ir šviesoforų darbui, GWh</t>
  </si>
  <si>
    <t>Asignavimų poreikis biudžetiniams 2012-iesiems metams</t>
  </si>
  <si>
    <r>
      <t>Klaipėdos</t>
    </r>
    <r>
      <rPr>
        <b/>
        <sz val="10"/>
        <rFont val="Times New Roman"/>
        <family val="1"/>
        <charset val="204"/>
      </rPr>
      <t xml:space="preserve"> miesto bendro naudojimo teritorijų apšvietimo gerinimo 2008</t>
    </r>
    <r>
      <rPr>
        <b/>
        <sz val="10"/>
        <rFont val="Arial"/>
        <family val="2"/>
        <charset val="186"/>
      </rPr>
      <t>–</t>
    </r>
    <r>
      <rPr>
        <b/>
        <sz val="10"/>
        <rFont val="Times New Roman"/>
        <family val="1"/>
        <charset val="204"/>
      </rPr>
      <t>2018 m. programos įgyvendinimas</t>
    </r>
  </si>
  <si>
    <t>Asignavimų poreikis biudžetiniams 
2012-iesiems metams</t>
  </si>
  <si>
    <t>Klaipėdos miesto Joniškės kapinių tvoros rekonstrukcija su kolubariumo įrengimo, prieigų, asfalto takelių sutvarkymo techninio projekto parengimas ir įgyvendinimas</t>
  </si>
  <si>
    <t>Asignavimai biudžetiniams 
2011-iesiems metams</t>
  </si>
  <si>
    <t>Projektas 2014-iesiems metams</t>
  </si>
  <si>
    <t>Teikti miesto gyventojams kokybiškas komunalines ir viešųjų erdvių priežiūros paslaugas</t>
  </si>
  <si>
    <t>Siekti, kad miesto viešosios erdvės būtų tvarkingos, jaukios ir saugios</t>
  </si>
  <si>
    <t xml:space="preserve">Miesto aikščių, skverų ir kitų bendro naudojimo teritorijų priežiūra:
</t>
  </si>
  <si>
    <t>Švaros ir tvarkos užtikrinimas bendro naudojimo teritorijose:</t>
  </si>
  <si>
    <t>Šunų vedžiojimo aikštelių priežiūra ir įrengimas, ekskrementų dėžių pastatymas</t>
  </si>
  <si>
    <t xml:space="preserve">Miesto paplūdimių priežiūros organizavimas:
</t>
  </si>
  <si>
    <t xml:space="preserve">Apšvietimo tinklų ir įrangos eksploatacija, avarinių gedimų likvidavimas ir radiofikacijos linijų remontas </t>
  </si>
  <si>
    <t>09</t>
  </si>
  <si>
    <t>Užtikrinti laidojimo paslaugų teikimą, miesto kapinių priežiūrą ir poreikius atitinkantį laidojimo vietų skaičių</t>
  </si>
  <si>
    <t>Užtikrinti švarą ir tvarką daugiabučių gyvenamųjų namų kvartaluose, skatinti gyventojus renovuoti ir prižiūrėti savo turtą</t>
  </si>
  <si>
    <t>Lietaus ir ūkio nuotekų tinklų paklojimas bei kelio dangų įrengimas Melnragėje</t>
  </si>
  <si>
    <t>P.3.3.2.9.</t>
  </si>
  <si>
    <t>Lėšų poreikis biudžetiniams                      2012-iesiems metams</t>
  </si>
  <si>
    <t>2013-ųjų metų lėšų projektas</t>
  </si>
  <si>
    <t>2014-ųjų metų lėšų projektas</t>
  </si>
  <si>
    <t>Gatvių apšvietimo tinklų ir jų valdymo sistemos modernizavimo, partnerystės galimybių studijos parengimas</t>
  </si>
  <si>
    <t xml:space="preserve">Miesto viešųjų erdvių ir gatvių apšvietimo užtikrinimas:
</t>
  </si>
  <si>
    <r>
      <t xml:space="preserve">Paskolos lėšos </t>
    </r>
    <r>
      <rPr>
        <b/>
        <sz val="9"/>
        <rFont val="Times New Roman"/>
        <family val="1"/>
        <charset val="186"/>
      </rPr>
      <t xml:space="preserve"> SB(P)</t>
    </r>
  </si>
  <si>
    <t>SB(P)</t>
  </si>
  <si>
    <r>
      <t xml:space="preserve">Kiti finansavimo šaltiniai </t>
    </r>
    <r>
      <rPr>
        <b/>
        <sz val="10"/>
        <rFont val="Times New Roman"/>
        <family val="1"/>
        <charset val="204"/>
      </rPr>
      <t>Kt</t>
    </r>
  </si>
  <si>
    <t xml:space="preserve"> TIKSLŲ, UŽDAVINIŲ, PRIEMONIŲ IR PRIEMONIŲ IŠLAIDŲ SUVESTINĖ</t>
  </si>
  <si>
    <t>4-ajam uždaviniui</t>
  </si>
  <si>
    <t>Nugriauta pavojingų statinių, vnt.</t>
  </si>
  <si>
    <t>Įrengta laidojimo vietų, tūkst. vnt.</t>
  </si>
  <si>
    <t>2014-ųjų metų planas</t>
  </si>
  <si>
    <t>2010-ųjų metų faktas</t>
  </si>
  <si>
    <t>P-07-01-01-01</t>
  </si>
  <si>
    <t>P-07-01-01-02</t>
  </si>
  <si>
    <t>P-07-01-01-03</t>
  </si>
  <si>
    <t>P-07-01-01-04</t>
  </si>
  <si>
    <t>P-07-01-01-05</t>
  </si>
  <si>
    <t>P-07-01-01-06</t>
  </si>
  <si>
    <t>P-07-01-01-07</t>
  </si>
  <si>
    <t>P-07-01-01-08</t>
  </si>
  <si>
    <t>P-07-01-01-09</t>
  </si>
  <si>
    <t>P-07-01-01-10</t>
  </si>
  <si>
    <t>P-07-01-02-02</t>
  </si>
  <si>
    <t>P-07-01-03-02</t>
  </si>
  <si>
    <t>P-07-01-03-03</t>
  </si>
  <si>
    <t>P-07-01-04-01</t>
  </si>
  <si>
    <t>P-07-01-04-02</t>
  </si>
  <si>
    <t>P-07-01-04-03</t>
  </si>
  <si>
    <t>309</t>
  </si>
  <si>
    <t>2,9</t>
  </si>
  <si>
    <t>Gyventojų, kurie viešųjų erdvių būklę vertina teigiamai, dalis, proc.</t>
  </si>
  <si>
    <t>R-07-01-04</t>
  </si>
  <si>
    <t>n.d.</t>
  </si>
  <si>
    <t>Namų ūkių, kurie naudojasi centralizuotomis nuotekų surinkimo bei tvarkymo paslaugomis, dalis, proc.</t>
  </si>
  <si>
    <t>Suvartota el. energijos miesto gatvių apšvietimui vidutiniškai per metus, KWh vienam šviestuvui</t>
  </si>
  <si>
    <t>Apleistų pastatų skaičius mieste, vnt.</t>
  </si>
  <si>
    <t>R-07-01-05</t>
  </si>
  <si>
    <t>R-07-01-06</t>
  </si>
  <si>
    <t>P5</t>
  </si>
  <si>
    <t>Daugiabučių kiemų prižiūrimi plotai, tūkst. kv. m.</t>
  </si>
  <si>
    <t>2,5</t>
  </si>
  <si>
    <t>250</t>
  </si>
  <si>
    <t>Gėlynų priežiūra, atnaujinimas ir įrengimas;</t>
  </si>
  <si>
    <t>Fontanų priežiūra, remontas ir atnaujinimas;</t>
  </si>
  <si>
    <t>Miesto aikščių, skverų, pėsčiųjų takų dangų einamasis remontas;</t>
  </si>
  <si>
    <t>Paplūdimių sanitarinis ir mechanizuotas valymas;</t>
  </si>
  <si>
    <t>Savivaldybei priskirtų teritorijų sanitarinis valymas, bešeimininkių statinių ir nelegalių objektų nukėlimo bei nugriovimo darbai, parkų, skverų, žaliųjų plotų želdinimas ir aplinkotvarka;</t>
  </si>
  <si>
    <t>Miesto viešųjų tualetų remontas, priežiūra ir nuoma;</t>
  </si>
  <si>
    <t>Naminių gyvūnų (šunų, kačių) indentifikacija, beglobių  gyvūnų gaudymas, karantinavimas ir utilizavimas;</t>
  </si>
  <si>
    <t>Paplūdimių inventoriaus priežiūra ir sutvarkymas;</t>
  </si>
  <si>
    <t>Viešojo tualeto paslaugų teikimas Melnragės paplūdimyje;</t>
  </si>
  <si>
    <t>Skęstančiųjų gelbėjimo paslaugų teikimas (BĮ Klaipėdos skęstančiųjų gelbėjimo tarnybos veiklos organizavimas)</t>
  </si>
  <si>
    <t xml:space="preserve">Elektros energijos įsigijimas miesto viešosioms erdvėms ir gatvėms apšviesti; </t>
  </si>
  <si>
    <t>Savivaldybės valdomų ar pripažintų bešeimininkiais netinkamų naudoti pastatų griovimas (2012 m. - pastatų Kretingos g. 86 (ES projektas) ir Skerdyklos g. 1 (SB)</t>
  </si>
  <si>
    <t>Miesto kapinių priežiūros organizavimas (valymas, apsauga, administravimas, elektros energijos pirkimas, vandens įrenginių priežiūra, kvartalinių žymeklių įrengimas, kapinių inventorizavimas):</t>
  </si>
  <si>
    <t>Lėbartų kapinių priežiūra;</t>
  </si>
  <si>
    <t>Joniškės kapinių priežiūra;</t>
  </si>
  <si>
    <t>Lėbartų kapinių vandentiekio sistemos remontas;</t>
  </si>
  <si>
    <t>Senųjų (neveikiančių) kapinaičių priežiūra;</t>
  </si>
  <si>
    <t>Mirusių (žuvusių) žmonių palaikų pervežimas iš įvykio vietų, neatpažintų, vienišų ir mirusių, kuriuos artimieji atsisako laidoti, žmonių palaikų laikinas laikymas (saugojimas), palaidojimas savivaldybės lėšomis</t>
  </si>
  <si>
    <r>
      <t>Projekto „Baltijos jūros vandens kokybės gerinimas, vystant vandens nuotekų tinklus“ įgyvendinimas</t>
    </r>
    <r>
      <rPr>
        <sz val="10"/>
        <rFont val="Times New Roman"/>
        <family val="1"/>
        <charset val="186"/>
      </rPr>
      <t xml:space="preserve"> (siekiant sumažinti teršalų priebėgą Baltijos jūros pietinėje dalyje iš lietaus ir paviršinių nuotekų vandenų, bus rekonstruojama dalis Klaipėdos gatvių lietaus nuotekų surinkimo sistemų)</t>
    </r>
  </si>
  <si>
    <r>
      <t xml:space="preserve">Projekto „Vandentiekio ir nuotekų tinklų plėtra Klaipėdos rajone“ įgyvendinimas  </t>
    </r>
    <r>
      <rPr>
        <sz val="10"/>
        <rFont val="Times New Roman"/>
        <family val="1"/>
        <charset val="186"/>
      </rPr>
      <t>(Klaipėdos miesto teritorijoje: Paupių ir 2-osios Melnragės kvartaluose)</t>
    </r>
  </si>
  <si>
    <r>
      <t>Projekto „Vandens tiekimo ir nuotekų tvarkymo infrastruktūros plėtra Klaipėdoje“ įgyvendinimas</t>
    </r>
    <r>
      <rPr>
        <sz val="10"/>
        <rFont val="Times New Roman"/>
        <family val="1"/>
        <charset val="186"/>
      </rPr>
      <t xml:space="preserve"> (Kretingos g. rajone, Tauralaukio gyvenvietės šiaurės rytų rajone, Smeltės gyvenamajame kvartale, Paupių kvartale ir perpektyvinėje miesto teritorijoje į šiaurę nuo Vilniaus pl., Žaliojo Slėnio kvartale ir sodų bendrijoje „Tauras“, Trinyčių kvartale, 1-osios vandenvietės statyba ir rekonstrukcija)</t>
    </r>
  </si>
  <si>
    <t>Įrengta ir atnaujinta viešųjų erdvių mieste, vnt.</t>
  </si>
  <si>
    <t>Namų ūkių, kurie naudojasi centralizuotomis vandentiekio paslaugomis, dalis, proc.</t>
  </si>
  <si>
    <t>Įsteigta DNSB, vnt.</t>
  </si>
  <si>
    <t>1 lentelė</t>
  </si>
  <si>
    <r>
      <t xml:space="preserve">2011-2014 </t>
    </r>
    <r>
      <rPr>
        <sz val="10"/>
        <rFont val="Times New Roman"/>
        <family val="1"/>
        <charset val="186"/>
      </rPr>
      <t>M.</t>
    </r>
    <r>
      <rPr>
        <sz val="10"/>
        <rFont val="Times New Roman"/>
        <family val="1"/>
      </rPr>
      <t xml:space="preserve"> KLAIPĖDOS MIESTO SAVIVALDYBĖS </t>
    </r>
    <r>
      <rPr>
        <b/>
        <u/>
        <sz val="10"/>
        <rFont val="Times New Roman"/>
        <family val="1"/>
        <charset val="186"/>
      </rPr>
      <t xml:space="preserve">
</t>
    </r>
    <r>
      <rPr>
        <b/>
        <u/>
        <sz val="10"/>
        <rFont val="Times New Roman"/>
        <family val="1"/>
      </rPr>
      <t>MIESTO INFRASTRUKTŪROS OBJEKTŲ PRIEŽIŪROS IR MODERNIZAVIMO PROGRAMOS (NR. 07)</t>
    </r>
  </si>
  <si>
    <r>
      <t xml:space="preserve">Funkcinės klasifikacijos kodas </t>
    </r>
    <r>
      <rPr>
        <sz val="9"/>
        <rFont val="Times New Roman"/>
        <family val="1"/>
      </rPr>
      <t xml:space="preserve"> </t>
    </r>
  </si>
  <si>
    <r>
      <t xml:space="preserve">2.1.5. Savivaldybės privatizavimo fondo lėšos </t>
    </r>
    <r>
      <rPr>
        <b/>
        <sz val="10"/>
        <rFont val="Times New Roman"/>
        <family val="1"/>
        <charset val="186"/>
      </rPr>
      <t>PF</t>
    </r>
  </si>
  <si>
    <r>
      <t xml:space="preserve">2.1.1. </t>
    </r>
    <r>
      <rPr>
        <sz val="10"/>
        <rFont val="Times New Roman"/>
        <family val="1"/>
        <charset val="186"/>
      </rPr>
      <t>savivaldybės</t>
    </r>
    <r>
      <rPr>
        <sz val="10"/>
        <rFont val="Times New Roman"/>
        <family val="1"/>
      </rPr>
      <t xml:space="preserve"> biudžeto lėšos </t>
    </r>
    <r>
      <rPr>
        <b/>
        <sz val="10"/>
        <rFont val="Times New Roman"/>
        <family val="1"/>
      </rPr>
      <t>SB</t>
    </r>
  </si>
  <si>
    <r>
      <t xml:space="preserve">2.1.2. pajamų įmokos už atsitiktines paslaugas </t>
    </r>
    <r>
      <rPr>
        <b/>
        <sz val="10"/>
        <rFont val="Times New Roman"/>
        <family val="1"/>
      </rPr>
      <t>SB(SP)</t>
    </r>
  </si>
  <si>
    <r>
      <t xml:space="preserve">2.1.3. daugiabučių namų savininkų bendrijų fondo lėšos </t>
    </r>
    <r>
      <rPr>
        <b/>
        <sz val="10"/>
        <rFont val="Times New Roman"/>
        <family val="1"/>
      </rPr>
      <t>SB(F)</t>
    </r>
  </si>
  <si>
    <r>
      <t xml:space="preserve">2.1.4. paskolos lėšos </t>
    </r>
    <r>
      <rPr>
        <b/>
        <sz val="10"/>
        <rFont val="Times New Roman"/>
        <family val="1"/>
        <charset val="186"/>
      </rPr>
      <t>SB(P)</t>
    </r>
  </si>
  <si>
    <t>Inžinerinės infrastruktūros statyba Dienovidžio ir Užlaukio gatvėse</t>
  </si>
  <si>
    <t>P.2.4.4.</t>
  </si>
  <si>
    <t>Atsinaujinančių išteklių energijos (AIE) naudojimo plėtros veiksmų plano parengimas</t>
  </si>
  <si>
    <t>P-07-01-04-04</t>
  </si>
  <si>
    <t>Parengtas AEI naudojimo plėtros veiksmų planas</t>
  </si>
  <si>
    <t>Asignavimai biudžetiniams                        2011-iesiems metams</t>
  </si>
  <si>
    <t>Asignavimai 2011-iesiems metams</t>
  </si>
  <si>
    <t>2012-ųjų  asignavimų planas</t>
  </si>
  <si>
    <r>
      <t xml:space="preserve">2.2.4. </t>
    </r>
    <r>
      <rPr>
        <sz val="10"/>
        <rFont val="Times New Roman"/>
        <family val="1"/>
        <charset val="186"/>
      </rPr>
      <t>kiti</t>
    </r>
    <r>
      <rPr>
        <sz val="10"/>
        <rFont val="Times New Roman"/>
        <family val="1"/>
      </rPr>
      <t xml:space="preserve"> finansavimo šaltiniai </t>
    </r>
    <r>
      <rPr>
        <b/>
        <sz val="10"/>
        <rFont val="Times New Roman"/>
        <family val="1"/>
        <charset val="186"/>
      </rPr>
      <t>Kt</t>
    </r>
  </si>
  <si>
    <t>Bendrojo naudojimo lietaus nuotekų tinklų statyba teritorijoje ties Bangų g. 5A, Klaipėdoje</t>
  </si>
  <si>
    <r>
      <t xml:space="preserve">Viešųjų tualetų įrengimas ir atnaujinimas 
</t>
    </r>
    <r>
      <rPr>
        <sz val="10"/>
        <color rgb="FFFF0000"/>
        <rFont val="Times New Roman"/>
        <family val="1"/>
        <charset val="186"/>
      </rPr>
      <t>(projektas „Mano socialinė atsakomybė (Žmonių su negalia socialinė integracija Latvijoje ir Lietuvoje, įgyvendinant universalaus planavimo (UP) principus ir kuriant naujas socialines paslaugas“)</t>
    </r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</si>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</sst>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>
    <font>
      <sz val="10"/>
      <name val="Arial"/>
      <charset val="186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Arial"/>
      <family val="2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b/>
      <sz val="12"/>
      <name val="Times New Roman Baltic"/>
      <family val="1"/>
      <charset val="186"/>
    </font>
    <font>
      <sz val="10"/>
      <name val="TimesLT"/>
      <charset val="186"/>
    </font>
    <font>
      <sz val="12"/>
      <name val="Arial"/>
      <family val="2"/>
      <charset val="186"/>
    </font>
    <font>
      <b/>
      <sz val="11"/>
      <name val="Times New Roman Baltic"/>
      <family val="1"/>
      <charset val="186"/>
    </font>
    <font>
      <b/>
      <sz val="8"/>
      <name val="Times New Roman Baltic"/>
      <family val="1"/>
      <charset val="186"/>
    </font>
    <font>
      <b/>
      <sz val="10"/>
      <name val="Times New Roman Baltic"/>
      <family val="1"/>
      <charset val="186"/>
    </font>
    <font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10"/>
      <name val="Arial"/>
      <family val="2"/>
      <charset val="186"/>
    </font>
    <font>
      <b/>
      <u/>
      <sz val="10"/>
      <name val="Times New Roman"/>
      <family val="1"/>
      <charset val="186"/>
    </font>
    <font>
      <b/>
      <u/>
      <sz val="10"/>
      <name val="Times New Roman"/>
      <family val="1"/>
    </font>
    <font>
      <b/>
      <sz val="11"/>
      <name val="Times New Roman"/>
      <family val="1"/>
      <charset val="186"/>
    </font>
    <font>
      <b/>
      <sz val="8"/>
      <name val="Times New Roman"/>
      <family val="1"/>
    </font>
    <font>
      <u/>
      <sz val="10"/>
      <name val="Times New Roman"/>
      <family val="1"/>
    </font>
    <font>
      <i/>
      <u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186"/>
    </font>
    <font>
      <sz val="9"/>
      <name val="Times New Roman Baltic"/>
      <family val="1"/>
      <charset val="186"/>
    </font>
    <font>
      <sz val="9"/>
      <name val="Arial"/>
      <family val="2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</font>
    <font>
      <sz val="9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204"/>
    </font>
    <font>
      <sz val="10"/>
      <color rgb="FFFF0000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0" fillId="0" borderId="0"/>
  </cellStyleXfs>
  <cellXfs count="797">
    <xf numFmtId="0" fontId="0" fillId="0" borderId="0" xfId="0"/>
    <xf numFmtId="49" fontId="6" fillId="2" borderId="1" xfId="0" applyNumberFormat="1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49" fontId="5" fillId="0" borderId="2" xfId="0" applyNumberFormat="1" applyFont="1" applyFill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164" fontId="2" fillId="0" borderId="0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right" vertical="top"/>
    </xf>
    <xf numFmtId="164" fontId="13" fillId="0" borderId="0" xfId="0" applyNumberFormat="1" applyFont="1" applyFill="1" applyBorder="1" applyAlignment="1">
      <alignment horizontal="center" vertical="top" wrapText="1"/>
    </xf>
    <xf numFmtId="0" fontId="7" fillId="0" borderId="0" xfId="0" applyFont="1"/>
    <xf numFmtId="49" fontId="1" fillId="0" borderId="0" xfId="0" applyNumberFormat="1" applyFont="1" applyFill="1" applyBorder="1" applyAlignment="1">
      <alignment horizontal="right" vertical="top"/>
    </xf>
    <xf numFmtId="49" fontId="7" fillId="0" borderId="0" xfId="0" applyNumberFormat="1" applyFont="1" applyFill="1" applyBorder="1" applyAlignment="1">
      <alignment horizontal="right" vertical="top"/>
    </xf>
    <xf numFmtId="0" fontId="14" fillId="0" borderId="0" xfId="0" applyFont="1"/>
    <xf numFmtId="49" fontId="6" fillId="2" borderId="3" xfId="0" applyNumberFormat="1" applyFont="1" applyFill="1" applyBorder="1" applyAlignment="1">
      <alignment horizontal="center" vertical="top"/>
    </xf>
    <xf numFmtId="0" fontId="17" fillId="0" borderId="0" xfId="0" applyFont="1"/>
    <xf numFmtId="49" fontId="6" fillId="2" borderId="4" xfId="0" applyNumberFormat="1" applyFont="1" applyFill="1" applyBorder="1" applyAlignment="1">
      <alignment vertical="top"/>
    </xf>
    <xf numFmtId="49" fontId="1" fillId="3" borderId="5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 wrapText="1"/>
    </xf>
    <xf numFmtId="49" fontId="6" fillId="3" borderId="5" xfId="0" applyNumberFormat="1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left" vertical="top"/>
    </xf>
    <xf numFmtId="49" fontId="6" fillId="3" borderId="5" xfId="0" applyNumberFormat="1" applyFont="1" applyFill="1" applyBorder="1" applyAlignment="1">
      <alignment horizontal="left" vertical="top"/>
    </xf>
    <xf numFmtId="0" fontId="5" fillId="0" borderId="8" xfId="0" applyFont="1" applyFill="1" applyBorder="1" applyAlignment="1">
      <alignment horizontal="center" vertical="top" wrapText="1"/>
    </xf>
    <xf numFmtId="0" fontId="5" fillId="0" borderId="9" xfId="0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/>
    </xf>
    <xf numFmtId="0" fontId="5" fillId="0" borderId="12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 wrapText="1"/>
    </xf>
    <xf numFmtId="0" fontId="5" fillId="0" borderId="14" xfId="0" applyFont="1" applyFill="1" applyBorder="1" applyAlignment="1">
      <alignment horizontal="center" vertical="top" wrapText="1"/>
    </xf>
    <xf numFmtId="0" fontId="3" fillId="0" borderId="15" xfId="0" applyFont="1" applyBorder="1" applyAlignment="1">
      <alignment horizontal="left" vertical="top" wrapText="1" indent="2"/>
    </xf>
    <xf numFmtId="0" fontId="3" fillId="0" borderId="16" xfId="0" applyFont="1" applyBorder="1" applyAlignment="1">
      <alignment horizontal="left" vertical="top" wrapText="1" indent="2"/>
    </xf>
    <xf numFmtId="0" fontId="3" fillId="0" borderId="17" xfId="0" applyFont="1" applyBorder="1" applyAlignment="1">
      <alignment horizontal="left" vertical="top" wrapText="1" indent="2"/>
    </xf>
    <xf numFmtId="0" fontId="7" fillId="0" borderId="18" xfId="0" applyFont="1" applyBorder="1" applyAlignment="1">
      <alignment horizontal="center" vertical="top"/>
    </xf>
    <xf numFmtId="164" fontId="14" fillId="0" borderId="0" xfId="0" applyNumberFormat="1" applyFont="1"/>
    <xf numFmtId="49" fontId="7" fillId="0" borderId="6" xfId="0" applyNumberFormat="1" applyFont="1" applyFill="1" applyBorder="1" applyAlignment="1">
      <alignment horizontal="center" vertical="top"/>
    </xf>
    <xf numFmtId="0" fontId="19" fillId="0" borderId="0" xfId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2" fillId="0" borderId="0" xfId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49" fontId="18" fillId="0" borderId="19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top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49" fontId="23" fillId="0" borderId="0" xfId="1" applyNumberFormat="1" applyFont="1" applyAlignment="1" applyProtection="1">
      <alignment horizontal="center" vertical="top"/>
    </xf>
    <xf numFmtId="0" fontId="24" fillId="0" borderId="0" xfId="1" applyFont="1"/>
    <xf numFmtId="0" fontId="25" fillId="0" borderId="2" xfId="1" applyFont="1" applyBorder="1" applyAlignment="1">
      <alignment horizontal="left"/>
    </xf>
    <xf numFmtId="49" fontId="25" fillId="0" borderId="2" xfId="1" applyNumberFormat="1" applyFont="1" applyBorder="1" applyAlignment="1">
      <alignment horizontal="left"/>
    </xf>
    <xf numFmtId="0" fontId="25" fillId="0" borderId="2" xfId="1" applyFont="1" applyBorder="1" applyAlignment="1">
      <alignment horizontal="center"/>
    </xf>
    <xf numFmtId="0" fontId="24" fillId="0" borderId="0" xfId="1" applyFont="1" applyAlignment="1">
      <alignment horizontal="center"/>
    </xf>
    <xf numFmtId="49" fontId="25" fillId="0" borderId="23" xfId="1" applyNumberFormat="1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/>
    </xf>
    <xf numFmtId="0" fontId="7" fillId="0" borderId="24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7" fillId="0" borderId="13" xfId="0" applyFont="1" applyFill="1" applyBorder="1" applyAlignment="1">
      <alignment horizontal="center" vertical="top" wrapText="1"/>
    </xf>
    <xf numFmtId="0" fontId="27" fillId="0" borderId="0" xfId="0" applyFont="1"/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center" vertical="top" wrapText="1"/>
    </xf>
    <xf numFmtId="0" fontId="8" fillId="0" borderId="25" xfId="0" applyFont="1" applyBorder="1" applyAlignment="1">
      <alignment horizontal="center" vertical="center" textRotation="90" wrapText="1"/>
    </xf>
    <xf numFmtId="0" fontId="8" fillId="0" borderId="25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5" fillId="0" borderId="24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 indent="2"/>
    </xf>
    <xf numFmtId="0" fontId="3" fillId="0" borderId="2" xfId="0" applyFont="1" applyBorder="1" applyAlignment="1">
      <alignment horizontal="center" vertical="top" wrapText="1"/>
    </xf>
    <xf numFmtId="164" fontId="15" fillId="0" borderId="0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Fill="1" applyBorder="1" applyAlignment="1">
      <alignment horizontal="center" vertical="top" wrapText="1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2" fillId="0" borderId="2" xfId="1" applyFont="1" applyBorder="1" applyAlignment="1">
      <alignment horizontal="left" vertical="top" wrapText="1"/>
    </xf>
    <xf numFmtId="0" fontId="3" fillId="0" borderId="27" xfId="1" applyFont="1" applyBorder="1" applyAlignment="1">
      <alignment horizontal="center" vertical="top"/>
    </xf>
    <xf numFmtId="0" fontId="3" fillId="0" borderId="2" xfId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2" fillId="0" borderId="2" xfId="1" applyFont="1" applyBorder="1" applyAlignment="1">
      <alignment horizontal="left" vertical="top" wrapText="1"/>
    </xf>
    <xf numFmtId="0" fontId="33" fillId="0" borderId="2" xfId="1" applyFont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/>
    </xf>
    <xf numFmtId="0" fontId="3" fillId="0" borderId="0" xfId="1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2" xfId="1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49" fontId="3" fillId="0" borderId="2" xfId="0" applyNumberFormat="1" applyFont="1" applyFill="1" applyBorder="1" applyAlignment="1">
      <alignment vertical="top" wrapText="1"/>
    </xf>
    <xf numFmtId="164" fontId="14" fillId="0" borderId="0" xfId="0" applyNumberFormat="1" applyFont="1" applyFill="1"/>
    <xf numFmtId="0" fontId="7" fillId="0" borderId="13" xfId="0" applyFont="1" applyFill="1" applyBorder="1" applyAlignment="1">
      <alignment horizontal="center" vertical="top"/>
    </xf>
    <xf numFmtId="0" fontId="25" fillId="0" borderId="27" xfId="1" applyFont="1" applyBorder="1" applyAlignment="1">
      <alignment horizontal="left"/>
    </xf>
    <xf numFmtId="0" fontId="7" fillId="0" borderId="18" xfId="0" applyFont="1" applyFill="1" applyBorder="1" applyAlignment="1">
      <alignment horizontal="center" vertical="top" wrapText="1"/>
    </xf>
    <xf numFmtId="164" fontId="5" fillId="0" borderId="29" xfId="0" applyNumberFormat="1" applyFont="1" applyFill="1" applyBorder="1" applyAlignment="1">
      <alignment horizontal="right" vertical="top"/>
    </xf>
    <xf numFmtId="164" fontId="5" fillId="0" borderId="30" xfId="0" applyNumberFormat="1" applyFont="1" applyFill="1" applyBorder="1" applyAlignment="1">
      <alignment horizontal="right" vertical="top"/>
    </xf>
    <xf numFmtId="164" fontId="5" fillId="0" borderId="31" xfId="0" applyNumberFormat="1" applyFont="1" applyFill="1" applyBorder="1" applyAlignment="1">
      <alignment horizontal="right" vertical="top"/>
    </xf>
    <xf numFmtId="164" fontId="5" fillId="0" borderId="12" xfId="0" applyNumberFormat="1" applyFont="1" applyFill="1" applyBorder="1" applyAlignment="1">
      <alignment horizontal="right" vertical="top" wrapText="1"/>
    </xf>
    <xf numFmtId="164" fontId="5" fillId="0" borderId="12" xfId="0" applyNumberFormat="1" applyFont="1" applyFill="1" applyBorder="1" applyAlignment="1">
      <alignment horizontal="right" vertical="top"/>
    </xf>
    <xf numFmtId="164" fontId="5" fillId="0" borderId="16" xfId="0" applyNumberFormat="1" applyFont="1" applyFill="1" applyBorder="1" applyAlignment="1">
      <alignment horizontal="right" vertical="top"/>
    </xf>
    <xf numFmtId="164" fontId="5" fillId="0" borderId="19" xfId="0" applyNumberFormat="1" applyFont="1" applyFill="1" applyBorder="1" applyAlignment="1">
      <alignment horizontal="right" vertical="top"/>
    </xf>
    <xf numFmtId="164" fontId="5" fillId="0" borderId="32" xfId="0" applyNumberFormat="1" applyFont="1" applyFill="1" applyBorder="1" applyAlignment="1">
      <alignment horizontal="right" vertical="top"/>
    </xf>
    <xf numFmtId="164" fontId="5" fillId="0" borderId="6" xfId="0" applyNumberFormat="1" applyFont="1" applyFill="1" applyBorder="1" applyAlignment="1">
      <alignment horizontal="right" vertical="top" wrapText="1"/>
    </xf>
    <xf numFmtId="164" fontId="5" fillId="0" borderId="6" xfId="0" applyNumberFormat="1" applyFont="1" applyFill="1" applyBorder="1" applyAlignment="1">
      <alignment horizontal="right" vertical="top"/>
    </xf>
    <xf numFmtId="164" fontId="7" fillId="0" borderId="30" xfId="0" applyNumberFormat="1" applyFont="1" applyFill="1" applyBorder="1" applyAlignment="1">
      <alignment horizontal="right" vertical="top"/>
    </xf>
    <xf numFmtId="164" fontId="7" fillId="0" borderId="31" xfId="0" applyNumberFormat="1" applyFont="1" applyFill="1" applyBorder="1" applyAlignment="1">
      <alignment horizontal="right" vertical="top"/>
    </xf>
    <xf numFmtId="164" fontId="7" fillId="0" borderId="30" xfId="0" applyNumberFormat="1" applyFont="1" applyBorder="1" applyAlignment="1">
      <alignment horizontal="right" vertical="top"/>
    </xf>
    <xf numFmtId="164" fontId="1" fillId="0" borderId="30" xfId="0" applyNumberFormat="1" applyFont="1" applyFill="1" applyBorder="1" applyAlignment="1">
      <alignment horizontal="right" vertical="top"/>
    </xf>
    <xf numFmtId="164" fontId="1" fillId="0" borderId="33" xfId="0" applyNumberFormat="1" applyFont="1" applyFill="1" applyBorder="1" applyAlignment="1">
      <alignment horizontal="right" vertical="top"/>
    </xf>
    <xf numFmtId="164" fontId="7" fillId="0" borderId="34" xfId="0" applyNumberFormat="1" applyFont="1" applyFill="1" applyBorder="1" applyAlignment="1">
      <alignment horizontal="right" vertical="top"/>
    </xf>
    <xf numFmtId="164" fontId="7" fillId="0" borderId="12" xfId="0" applyNumberFormat="1" applyFont="1" applyFill="1" applyBorder="1" applyAlignment="1">
      <alignment horizontal="right" vertical="top"/>
    </xf>
    <xf numFmtId="164" fontId="5" fillId="0" borderId="28" xfId="0" applyNumberFormat="1" applyFont="1" applyFill="1" applyBorder="1" applyAlignment="1">
      <alignment horizontal="right" vertical="center"/>
    </xf>
    <xf numFmtId="164" fontId="7" fillId="0" borderId="28" xfId="0" applyNumberFormat="1" applyFont="1" applyFill="1" applyBorder="1" applyAlignment="1">
      <alignment horizontal="right" vertical="center"/>
    </xf>
    <xf numFmtId="164" fontId="7" fillId="0" borderId="35" xfId="0" applyNumberFormat="1" applyFont="1" applyFill="1" applyBorder="1" applyAlignment="1">
      <alignment horizontal="right" vertical="center"/>
    </xf>
    <xf numFmtId="164" fontId="7" fillId="0" borderId="36" xfId="0" applyNumberFormat="1" applyFont="1" applyFill="1" applyBorder="1" applyAlignment="1">
      <alignment horizontal="right" vertical="center"/>
    </xf>
    <xf numFmtId="164" fontId="7" fillId="0" borderId="13" xfId="0" applyNumberFormat="1" applyFont="1" applyFill="1" applyBorder="1" applyAlignment="1">
      <alignment horizontal="right" vertical="center" wrapText="1"/>
    </xf>
    <xf numFmtId="164" fontId="7" fillId="0" borderId="13" xfId="0" applyNumberFormat="1" applyFont="1" applyFill="1" applyBorder="1" applyAlignment="1">
      <alignment horizontal="right" vertical="center"/>
    </xf>
    <xf numFmtId="164" fontId="7" fillId="0" borderId="33" xfId="0" applyNumberFormat="1" applyFont="1" applyFill="1" applyBorder="1" applyAlignment="1">
      <alignment horizontal="right" vertical="top"/>
    </xf>
    <xf numFmtId="164" fontId="5" fillId="0" borderId="12" xfId="0" applyNumberFormat="1" applyFont="1" applyBorder="1" applyAlignment="1">
      <alignment horizontal="right" vertical="top"/>
    </xf>
    <xf numFmtId="164" fontId="5" fillId="0" borderId="37" xfId="0" applyNumberFormat="1" applyFont="1" applyFill="1" applyBorder="1" applyAlignment="1">
      <alignment horizontal="right" vertical="top"/>
    </xf>
    <xf numFmtId="164" fontId="5" fillId="0" borderId="22" xfId="0" applyNumberFormat="1" applyFont="1" applyFill="1" applyBorder="1" applyAlignment="1">
      <alignment horizontal="right" vertical="top"/>
    </xf>
    <xf numFmtId="164" fontId="5" fillId="0" borderId="21" xfId="0" applyNumberFormat="1" applyFont="1" applyFill="1" applyBorder="1" applyAlignment="1">
      <alignment horizontal="right" vertical="top"/>
    </xf>
    <xf numFmtId="164" fontId="5" fillId="0" borderId="21" xfId="0" applyNumberFormat="1" applyFont="1" applyBorder="1" applyAlignment="1">
      <alignment horizontal="right" vertical="top"/>
    </xf>
    <xf numFmtId="164" fontId="5" fillId="0" borderId="18" xfId="0" applyNumberFormat="1" applyFont="1" applyBorder="1" applyAlignment="1">
      <alignment horizontal="right" vertical="top"/>
    </xf>
    <xf numFmtId="164" fontId="7" fillId="0" borderId="19" xfId="0" applyNumberFormat="1" applyFont="1" applyFill="1" applyBorder="1" applyAlignment="1">
      <alignment horizontal="right" vertical="top"/>
    </xf>
    <xf numFmtId="164" fontId="7" fillId="0" borderId="32" xfId="0" applyNumberFormat="1" applyFont="1" applyFill="1" applyBorder="1" applyAlignment="1">
      <alignment horizontal="right" vertical="top"/>
    </xf>
    <xf numFmtId="164" fontId="1" fillId="0" borderId="19" xfId="0" applyNumberFormat="1" applyFont="1" applyFill="1" applyBorder="1" applyAlignment="1">
      <alignment horizontal="right" vertical="top"/>
    </xf>
    <xf numFmtId="164" fontId="7" fillId="0" borderId="20" xfId="0" applyNumberFormat="1" applyFont="1" applyFill="1" applyBorder="1" applyAlignment="1">
      <alignment horizontal="right" vertical="top"/>
    </xf>
    <xf numFmtId="164" fontId="5" fillId="0" borderId="28" xfId="0" applyNumberFormat="1" applyFont="1" applyFill="1" applyBorder="1" applyAlignment="1">
      <alignment horizontal="right" vertical="top"/>
    </xf>
    <xf numFmtId="164" fontId="5" fillId="0" borderId="35" xfId="0" applyNumberFormat="1" applyFont="1" applyFill="1" applyBorder="1" applyAlignment="1">
      <alignment horizontal="right" vertical="top"/>
    </xf>
    <xf numFmtId="164" fontId="5" fillId="0" borderId="18" xfId="0" applyNumberFormat="1" applyFont="1" applyFill="1" applyBorder="1" applyAlignment="1">
      <alignment horizontal="right" vertical="top"/>
    </xf>
    <xf numFmtId="164" fontId="5" fillId="0" borderId="13" xfId="0" applyNumberFormat="1" applyFont="1" applyFill="1" applyBorder="1" applyAlignment="1">
      <alignment horizontal="right" vertical="top"/>
    </xf>
    <xf numFmtId="164" fontId="6" fillId="2" borderId="5" xfId="0" applyNumberFormat="1" applyFont="1" applyFill="1" applyBorder="1" applyAlignment="1">
      <alignment horizontal="right" vertical="top"/>
    </xf>
    <xf numFmtId="164" fontId="7" fillId="0" borderId="34" xfId="0" applyNumberFormat="1" applyFont="1" applyFill="1" applyBorder="1" applyAlignment="1">
      <alignment horizontal="right" vertical="top" wrapText="1"/>
    </xf>
    <xf numFmtId="164" fontId="5" fillId="0" borderId="15" xfId="0" applyNumberFormat="1" applyFont="1" applyFill="1" applyBorder="1" applyAlignment="1">
      <alignment horizontal="right" vertical="top"/>
    </xf>
    <xf numFmtId="164" fontId="7" fillId="0" borderId="28" xfId="0" applyNumberFormat="1" applyFont="1" applyFill="1" applyBorder="1" applyAlignment="1">
      <alignment horizontal="right" vertical="top"/>
    </xf>
    <xf numFmtId="164" fontId="7" fillId="0" borderId="35" xfId="0" applyNumberFormat="1" applyFont="1" applyFill="1" applyBorder="1" applyAlignment="1">
      <alignment horizontal="right" vertical="top"/>
    </xf>
    <xf numFmtId="164" fontId="7" fillId="0" borderId="36" xfId="0" applyNumberFormat="1" applyFont="1" applyFill="1" applyBorder="1" applyAlignment="1">
      <alignment horizontal="right" vertical="top"/>
    </xf>
    <xf numFmtId="164" fontId="5" fillId="0" borderId="38" xfId="0" applyNumberFormat="1" applyFont="1" applyFill="1" applyBorder="1" applyAlignment="1">
      <alignment horizontal="right" vertical="top" wrapText="1"/>
    </xf>
    <xf numFmtId="164" fontId="5" fillId="0" borderId="30" xfId="0" applyNumberFormat="1" applyFont="1" applyBorder="1" applyAlignment="1">
      <alignment horizontal="right" vertical="top"/>
    </xf>
    <xf numFmtId="164" fontId="6" fillId="0" borderId="30" xfId="0" applyNumberFormat="1" applyFont="1" applyFill="1" applyBorder="1" applyAlignment="1">
      <alignment horizontal="right" vertical="top"/>
    </xf>
    <xf numFmtId="164" fontId="5" fillId="0" borderId="34" xfId="0" applyNumberFormat="1" applyFont="1" applyFill="1" applyBorder="1" applyAlignment="1">
      <alignment horizontal="right" vertical="top"/>
    </xf>
    <xf numFmtId="164" fontId="6" fillId="0" borderId="28" xfId="0" applyNumberFormat="1" applyFont="1" applyFill="1" applyBorder="1" applyAlignment="1">
      <alignment horizontal="right" vertical="top"/>
    </xf>
    <xf numFmtId="164" fontId="5" fillId="0" borderId="38" xfId="0" applyNumberFormat="1" applyFont="1" applyFill="1" applyBorder="1" applyAlignment="1">
      <alignment horizontal="right" vertical="top"/>
    </xf>
    <xf numFmtId="164" fontId="6" fillId="0" borderId="33" xfId="0" applyNumberFormat="1" applyFont="1" applyFill="1" applyBorder="1" applyAlignment="1">
      <alignment horizontal="right" vertical="top"/>
    </xf>
    <xf numFmtId="164" fontId="6" fillId="0" borderId="19" xfId="0" applyNumberFormat="1" applyFont="1" applyFill="1" applyBorder="1" applyAlignment="1">
      <alignment horizontal="right" vertical="top"/>
    </xf>
    <xf numFmtId="164" fontId="6" fillId="0" borderId="20" xfId="0" applyNumberFormat="1" applyFont="1" applyFill="1" applyBorder="1" applyAlignment="1">
      <alignment horizontal="right" vertical="top"/>
    </xf>
    <xf numFmtId="164" fontId="5" fillId="0" borderId="33" xfId="0" applyNumberFormat="1" applyFont="1" applyFill="1" applyBorder="1" applyAlignment="1">
      <alignment horizontal="right" vertical="top"/>
    </xf>
    <xf numFmtId="164" fontId="5" fillId="0" borderId="20" xfId="0" applyNumberFormat="1" applyFont="1" applyFill="1" applyBorder="1" applyAlignment="1">
      <alignment horizontal="right" vertical="top"/>
    </xf>
    <xf numFmtId="164" fontId="5" fillId="0" borderId="36" xfId="0" applyNumberFormat="1" applyFont="1" applyFill="1" applyBorder="1" applyAlignment="1">
      <alignment horizontal="right" vertical="top"/>
    </xf>
    <xf numFmtId="164" fontId="7" fillId="0" borderId="23" xfId="0" applyNumberFormat="1" applyFont="1" applyFill="1" applyBorder="1" applyAlignment="1">
      <alignment horizontal="right" vertical="top"/>
    </xf>
    <xf numFmtId="164" fontId="7" fillId="0" borderId="19" xfId="0" applyNumberFormat="1" applyFont="1" applyFill="1" applyBorder="1" applyAlignment="1">
      <alignment horizontal="right" vertical="center"/>
    </xf>
    <xf numFmtId="164" fontId="7" fillId="0" borderId="32" xfId="0" applyNumberFormat="1" applyFont="1" applyFill="1" applyBorder="1" applyAlignment="1">
      <alignment horizontal="right" vertical="center"/>
    </xf>
    <xf numFmtId="164" fontId="7" fillId="0" borderId="20" xfId="0" applyNumberFormat="1" applyFont="1" applyFill="1" applyBorder="1" applyAlignment="1">
      <alignment horizontal="right" vertical="center"/>
    </xf>
    <xf numFmtId="164" fontId="1" fillId="0" borderId="31" xfId="0" applyNumberFormat="1" applyFont="1" applyFill="1" applyBorder="1" applyAlignment="1">
      <alignment horizontal="right" vertical="top"/>
    </xf>
    <xf numFmtId="164" fontId="1" fillId="0" borderId="32" xfId="0" applyNumberFormat="1" applyFont="1" applyFill="1" applyBorder="1" applyAlignment="1">
      <alignment horizontal="right" vertical="top"/>
    </xf>
    <xf numFmtId="164" fontId="7" fillId="0" borderId="18" xfId="0" applyNumberFormat="1" applyFont="1" applyFill="1" applyBorder="1" applyAlignment="1">
      <alignment horizontal="right" vertical="top"/>
    </xf>
    <xf numFmtId="164" fontId="1" fillId="2" borderId="5" xfId="0" applyNumberFormat="1" applyFont="1" applyFill="1" applyBorder="1" applyAlignment="1">
      <alignment horizontal="right" vertical="top"/>
    </xf>
    <xf numFmtId="164" fontId="1" fillId="0" borderId="10" xfId="0" applyNumberFormat="1" applyFont="1" applyFill="1" applyBorder="1" applyAlignment="1">
      <alignment horizontal="right" vertical="center" wrapText="1"/>
    </xf>
    <xf numFmtId="164" fontId="1" fillId="0" borderId="10" xfId="0" applyNumberFormat="1" applyFont="1" applyFill="1" applyBorder="1" applyAlignment="1">
      <alignment horizontal="right" vertical="center"/>
    </xf>
    <xf numFmtId="164" fontId="5" fillId="0" borderId="39" xfId="0" applyNumberFormat="1" applyFont="1" applyFill="1" applyBorder="1" applyAlignment="1">
      <alignment horizontal="right" vertical="top"/>
    </xf>
    <xf numFmtId="164" fontId="6" fillId="0" borderId="8" xfId="0" applyNumberFormat="1" applyFont="1" applyFill="1" applyBorder="1" applyAlignment="1">
      <alignment horizontal="right" vertical="top"/>
    </xf>
    <xf numFmtId="164" fontId="6" fillId="0" borderId="12" xfId="0" applyNumberFormat="1" applyFont="1" applyFill="1" applyBorder="1" applyAlignment="1">
      <alignment horizontal="right" vertical="top"/>
    </xf>
    <xf numFmtId="164" fontId="6" fillId="0" borderId="10" xfId="0" applyNumberFormat="1" applyFont="1" applyFill="1" applyBorder="1" applyAlignment="1">
      <alignment horizontal="right" vertical="top"/>
    </xf>
    <xf numFmtId="164" fontId="6" fillId="0" borderId="18" xfId="0" applyNumberFormat="1" applyFont="1" applyFill="1" applyBorder="1" applyAlignment="1">
      <alignment horizontal="right" vertical="top"/>
    </xf>
    <xf numFmtId="164" fontId="5" fillId="0" borderId="8" xfId="0" applyNumberFormat="1" applyFont="1" applyFill="1" applyBorder="1" applyAlignment="1">
      <alignment horizontal="right" vertical="top"/>
    </xf>
    <xf numFmtId="164" fontId="5" fillId="0" borderId="10" xfId="0" applyNumberFormat="1" applyFont="1" applyFill="1" applyBorder="1" applyAlignment="1">
      <alignment horizontal="right" vertical="top"/>
    </xf>
    <xf numFmtId="164" fontId="6" fillId="2" borderId="40" xfId="0" applyNumberFormat="1" applyFont="1" applyFill="1" applyBorder="1" applyAlignment="1">
      <alignment horizontal="right" vertical="top"/>
    </xf>
    <xf numFmtId="164" fontId="7" fillId="0" borderId="12" xfId="0" applyNumberFormat="1" applyFont="1" applyFill="1" applyBorder="1" applyAlignment="1">
      <alignment horizontal="right" vertical="top" wrapText="1"/>
    </xf>
    <xf numFmtId="164" fontId="7" fillId="0" borderId="18" xfId="0" applyNumberFormat="1" applyFont="1" applyFill="1" applyBorder="1" applyAlignment="1">
      <alignment horizontal="right" vertical="top" wrapText="1"/>
    </xf>
    <xf numFmtId="164" fontId="5" fillId="0" borderId="41" xfId="0" applyNumberFormat="1" applyFont="1" applyFill="1" applyBorder="1" applyAlignment="1">
      <alignment horizontal="right" vertical="top"/>
    </xf>
    <xf numFmtId="164" fontId="5" fillId="0" borderId="42" xfId="0" applyNumberFormat="1" applyFont="1" applyFill="1" applyBorder="1" applyAlignment="1">
      <alignment horizontal="right" vertical="top"/>
    </xf>
    <xf numFmtId="164" fontId="5" fillId="0" borderId="11" xfId="0" applyNumberFormat="1" applyFont="1" applyFill="1" applyBorder="1" applyAlignment="1">
      <alignment horizontal="right" vertical="top"/>
    </xf>
    <xf numFmtId="164" fontId="7" fillId="0" borderId="13" xfId="0" applyNumberFormat="1" applyFont="1" applyFill="1" applyBorder="1" applyAlignment="1">
      <alignment horizontal="right" vertical="top" wrapText="1"/>
    </xf>
    <xf numFmtId="164" fontId="7" fillId="0" borderId="37" xfId="0" applyNumberFormat="1" applyFont="1" applyFill="1" applyBorder="1" applyAlignment="1">
      <alignment horizontal="right" vertical="top"/>
    </xf>
    <xf numFmtId="164" fontId="7" fillId="0" borderId="43" xfId="0" applyNumberFormat="1" applyFont="1" applyFill="1" applyBorder="1" applyAlignment="1">
      <alignment horizontal="right" vertical="top"/>
    </xf>
    <xf numFmtId="164" fontId="5" fillId="0" borderId="44" xfId="0" applyNumberFormat="1" applyFont="1" applyFill="1" applyBorder="1" applyAlignment="1">
      <alignment horizontal="right" vertical="top"/>
    </xf>
    <xf numFmtId="164" fontId="5" fillId="0" borderId="43" xfId="0" applyNumberFormat="1" applyFont="1" applyFill="1" applyBorder="1" applyAlignment="1">
      <alignment horizontal="right" vertical="top"/>
    </xf>
    <xf numFmtId="164" fontId="5" fillId="0" borderId="23" xfId="0" applyNumberFormat="1" applyFont="1" applyFill="1" applyBorder="1" applyAlignment="1">
      <alignment horizontal="right" vertical="top"/>
    </xf>
    <xf numFmtId="164" fontId="6" fillId="0" borderId="23" xfId="0" applyNumberFormat="1" applyFont="1" applyFill="1" applyBorder="1" applyAlignment="1">
      <alignment horizontal="right" vertical="top"/>
    </xf>
    <xf numFmtId="164" fontId="7" fillId="0" borderId="24" xfId="0" applyNumberFormat="1" applyFont="1" applyFill="1" applyBorder="1" applyAlignment="1">
      <alignment horizontal="right" vertical="top" wrapText="1"/>
    </xf>
    <xf numFmtId="164" fontId="5" fillId="0" borderId="45" xfId="0" applyNumberFormat="1" applyFont="1" applyFill="1" applyBorder="1" applyAlignment="1">
      <alignment horizontal="right" vertical="top"/>
    </xf>
    <xf numFmtId="164" fontId="5" fillId="0" borderId="2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top"/>
    </xf>
    <xf numFmtId="164" fontId="5" fillId="0" borderId="46" xfId="0" applyNumberFormat="1" applyFont="1" applyFill="1" applyBorder="1" applyAlignment="1">
      <alignment horizontal="right" vertical="top"/>
    </xf>
    <xf numFmtId="164" fontId="5" fillId="0" borderId="27" xfId="0" applyNumberFormat="1" applyFont="1" applyFill="1" applyBorder="1" applyAlignment="1">
      <alignment horizontal="right" vertical="top"/>
    </xf>
    <xf numFmtId="164" fontId="6" fillId="0" borderId="2" xfId="0" applyNumberFormat="1" applyFont="1" applyFill="1" applyBorder="1" applyAlignment="1">
      <alignment horizontal="right" vertical="top"/>
    </xf>
    <xf numFmtId="164" fontId="7" fillId="0" borderId="22" xfId="0" applyNumberFormat="1" applyFont="1" applyFill="1" applyBorder="1" applyAlignment="1">
      <alignment horizontal="right" vertical="center"/>
    </xf>
    <xf numFmtId="164" fontId="7" fillId="0" borderId="18" xfId="0" applyNumberFormat="1" applyFont="1" applyFill="1" applyBorder="1" applyAlignment="1">
      <alignment horizontal="right" vertical="center"/>
    </xf>
    <xf numFmtId="164" fontId="7" fillId="0" borderId="34" xfId="0" applyNumberFormat="1" applyFont="1" applyBorder="1" applyAlignment="1">
      <alignment horizontal="right" vertical="top"/>
    </xf>
    <xf numFmtId="164" fontId="7" fillId="0" borderId="12" xfId="0" applyNumberFormat="1" applyFont="1" applyBorder="1" applyAlignment="1">
      <alignment horizontal="right" vertical="top"/>
    </xf>
    <xf numFmtId="164" fontId="12" fillId="0" borderId="13" xfId="0" applyNumberFormat="1" applyFont="1" applyBorder="1" applyAlignment="1">
      <alignment horizontal="right" vertical="top" wrapText="1"/>
    </xf>
    <xf numFmtId="164" fontId="12" fillId="0" borderId="39" xfId="0" applyNumberFormat="1" applyFont="1" applyBorder="1" applyAlignment="1">
      <alignment horizontal="right" vertical="top" wrapText="1"/>
    </xf>
    <xf numFmtId="164" fontId="12" fillId="0" borderId="9" xfId="0" applyNumberFormat="1" applyFont="1" applyBorder="1" applyAlignment="1">
      <alignment horizontal="right" vertical="top" wrapText="1"/>
    </xf>
    <xf numFmtId="164" fontId="12" fillId="0" borderId="47" xfId="0" applyNumberFormat="1" applyFont="1" applyBorder="1" applyAlignment="1">
      <alignment horizontal="right" vertical="top" wrapText="1"/>
    </xf>
    <xf numFmtId="164" fontId="12" fillId="0" borderId="48" xfId="0" applyNumberFormat="1" applyFont="1" applyBorder="1" applyAlignment="1">
      <alignment horizontal="right" vertical="top" wrapText="1"/>
    </xf>
    <xf numFmtId="164" fontId="12" fillId="0" borderId="49" xfId="0" applyNumberFormat="1" applyFont="1" applyBorder="1" applyAlignment="1">
      <alignment horizontal="right" vertical="top"/>
    </xf>
    <xf numFmtId="164" fontId="12" fillId="0" borderId="50" xfId="0" applyNumberFormat="1" applyFont="1" applyBorder="1" applyAlignment="1">
      <alignment horizontal="right" vertical="top" wrapText="1"/>
    </xf>
    <xf numFmtId="164" fontId="12" fillId="0" borderId="51" xfId="0" applyNumberFormat="1" applyFont="1" applyBorder="1" applyAlignment="1">
      <alignment horizontal="right" vertical="top" wrapText="1"/>
    </xf>
    <xf numFmtId="164" fontId="12" fillId="0" borderId="52" xfId="0" applyNumberFormat="1" applyFont="1" applyBorder="1" applyAlignment="1">
      <alignment horizontal="right" vertical="top" wrapText="1"/>
    </xf>
    <xf numFmtId="164" fontId="12" fillId="0" borderId="18" xfId="0" applyNumberFormat="1" applyFont="1" applyBorder="1" applyAlignment="1">
      <alignment horizontal="right" vertical="top" wrapText="1"/>
    </xf>
    <xf numFmtId="164" fontId="5" fillId="0" borderId="7" xfId="0" applyNumberFormat="1" applyFont="1" applyFill="1" applyBorder="1" applyAlignment="1">
      <alignment horizontal="right" vertical="top"/>
    </xf>
    <xf numFmtId="49" fontId="34" fillId="0" borderId="46" xfId="0" applyNumberFormat="1" applyFont="1" applyFill="1" applyBorder="1" applyAlignment="1">
      <alignment vertical="top" wrapText="1"/>
    </xf>
    <xf numFmtId="49" fontId="34" fillId="0" borderId="53" xfId="0" applyNumberFormat="1" applyFont="1" applyFill="1" applyBorder="1" applyAlignment="1">
      <alignment vertical="top" wrapText="1"/>
    </xf>
    <xf numFmtId="49" fontId="15" fillId="0" borderId="42" xfId="0" applyNumberFormat="1" applyFont="1" applyFill="1" applyBorder="1" applyAlignment="1">
      <alignment vertical="top" wrapText="1"/>
    </xf>
    <xf numFmtId="164" fontId="5" fillId="0" borderId="18" xfId="0" applyNumberFormat="1" applyFont="1" applyFill="1" applyBorder="1" applyAlignment="1">
      <alignment horizontal="right" vertical="top" wrapText="1"/>
    </xf>
    <xf numFmtId="164" fontId="5" fillId="0" borderId="13" xfId="0" applyNumberFormat="1" applyFont="1" applyFill="1" applyBorder="1" applyAlignment="1">
      <alignment horizontal="right" vertical="top" wrapText="1"/>
    </xf>
    <xf numFmtId="164" fontId="5" fillId="0" borderId="2" xfId="0" applyNumberFormat="1" applyFont="1" applyFill="1" applyBorder="1" applyAlignment="1">
      <alignment horizontal="right" vertical="center"/>
    </xf>
    <xf numFmtId="164" fontId="7" fillId="0" borderId="2" xfId="0" applyNumberFormat="1" applyFont="1" applyFill="1" applyBorder="1" applyAlignment="1">
      <alignment horizontal="right" vertical="center"/>
    </xf>
    <xf numFmtId="164" fontId="7" fillId="0" borderId="46" xfId="0" applyNumberFormat="1" applyFont="1" applyFill="1" applyBorder="1" applyAlignment="1">
      <alignment horizontal="right" vertical="center"/>
    </xf>
    <xf numFmtId="164" fontId="7" fillId="0" borderId="27" xfId="0" applyNumberFormat="1" applyFont="1" applyFill="1" applyBorder="1" applyAlignment="1">
      <alignment horizontal="right" vertical="center"/>
    </xf>
    <xf numFmtId="164" fontId="7" fillId="0" borderId="6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/>
    </xf>
    <xf numFmtId="0" fontId="16" fillId="0" borderId="53" xfId="0" applyFont="1" applyFill="1" applyBorder="1" applyAlignment="1">
      <alignment vertical="top" wrapText="1"/>
    </xf>
    <xf numFmtId="164" fontId="7" fillId="0" borderId="13" xfId="0" applyNumberFormat="1" applyFont="1" applyFill="1" applyBorder="1" applyAlignment="1">
      <alignment horizontal="right" vertical="top"/>
    </xf>
    <xf numFmtId="164" fontId="5" fillId="0" borderId="54" xfId="0" applyNumberFormat="1" applyFont="1" applyFill="1" applyBorder="1" applyAlignment="1">
      <alignment horizontal="right" vertical="top"/>
    </xf>
    <xf numFmtId="164" fontId="5" fillId="0" borderId="0" xfId="0" applyNumberFormat="1" applyFont="1" applyBorder="1" applyAlignment="1">
      <alignment horizontal="right" vertical="top"/>
    </xf>
    <xf numFmtId="164" fontId="5" fillId="0" borderId="6" xfId="0" applyNumberFormat="1" applyFont="1" applyBorder="1" applyAlignment="1">
      <alignment horizontal="right" vertical="top"/>
    </xf>
    <xf numFmtId="164" fontId="5" fillId="0" borderId="38" xfId="0" applyNumberFormat="1" applyFont="1" applyBorder="1" applyAlignment="1">
      <alignment horizontal="right" vertical="top"/>
    </xf>
    <xf numFmtId="164" fontId="5" fillId="0" borderId="13" xfId="0" applyNumberFormat="1" applyFont="1" applyBorder="1" applyAlignment="1">
      <alignment horizontal="right" vertical="top"/>
    </xf>
    <xf numFmtId="49" fontId="7" fillId="0" borderId="12" xfId="0" applyNumberFormat="1" applyFont="1" applyFill="1" applyBorder="1" applyAlignment="1">
      <alignment horizontal="center" vertical="top"/>
    </xf>
    <xf numFmtId="49" fontId="7" fillId="0" borderId="18" xfId="0" applyNumberFormat="1" applyFont="1" applyFill="1" applyBorder="1" applyAlignment="1">
      <alignment horizontal="center" vertical="top"/>
    </xf>
    <xf numFmtId="164" fontId="5" fillId="0" borderId="55" xfId="0" applyNumberFormat="1" applyFont="1" applyFill="1" applyBorder="1" applyAlignment="1">
      <alignment horizontal="right" vertical="top"/>
    </xf>
    <xf numFmtId="49" fontId="15" fillId="0" borderId="56" xfId="0" applyNumberFormat="1" applyFont="1" applyFill="1" applyBorder="1" applyAlignment="1">
      <alignment vertical="top" wrapText="1"/>
    </xf>
    <xf numFmtId="49" fontId="34" fillId="0" borderId="14" xfId="0" applyNumberFormat="1" applyFont="1" applyFill="1" applyBorder="1" applyAlignment="1">
      <alignment vertical="top" wrapText="1"/>
    </xf>
    <xf numFmtId="49" fontId="3" fillId="0" borderId="52" xfId="0" applyNumberFormat="1" applyFont="1" applyFill="1" applyBorder="1" applyAlignment="1">
      <alignment vertical="top" wrapText="1"/>
    </xf>
    <xf numFmtId="164" fontId="1" fillId="0" borderId="14" xfId="0" applyNumberFormat="1" applyFont="1" applyFill="1" applyBorder="1" applyAlignment="1">
      <alignment horizontal="right" vertical="center" wrapText="1"/>
    </xf>
    <xf numFmtId="164" fontId="1" fillId="0" borderId="14" xfId="0" applyNumberFormat="1" applyFont="1" applyFill="1" applyBorder="1" applyAlignment="1">
      <alignment horizontal="right" vertical="center"/>
    </xf>
    <xf numFmtId="164" fontId="1" fillId="0" borderId="9" xfId="0" applyNumberFormat="1" applyFont="1" applyFill="1" applyBorder="1" applyAlignment="1">
      <alignment horizontal="right" vertical="center" wrapText="1"/>
    </xf>
    <xf numFmtId="164" fontId="1" fillId="0" borderId="9" xfId="0" applyNumberFormat="1" applyFont="1" applyFill="1" applyBorder="1" applyAlignment="1">
      <alignment horizontal="right" vertical="center"/>
    </xf>
    <xf numFmtId="164" fontId="7" fillId="4" borderId="30" xfId="0" applyNumberFormat="1" applyFont="1" applyFill="1" applyBorder="1" applyAlignment="1">
      <alignment horizontal="right" vertical="top"/>
    </xf>
    <xf numFmtId="164" fontId="7" fillId="4" borderId="33" xfId="0" applyNumberFormat="1" applyFont="1" applyFill="1" applyBorder="1" applyAlignment="1">
      <alignment horizontal="right" vertical="top"/>
    </xf>
    <xf numFmtId="164" fontId="7" fillId="4" borderId="8" xfId="0" applyNumberFormat="1" applyFont="1" applyFill="1" applyBorder="1" applyAlignment="1">
      <alignment horizontal="right" vertical="top" wrapText="1"/>
    </xf>
    <xf numFmtId="164" fontId="7" fillId="0" borderId="8" xfId="0" applyNumberFormat="1" applyFont="1" applyFill="1" applyBorder="1" applyAlignment="1">
      <alignment horizontal="right" vertical="top"/>
    </xf>
    <xf numFmtId="0" fontId="7" fillId="0" borderId="15" xfId="0" applyFont="1" applyBorder="1" applyAlignment="1">
      <alignment horizontal="center" vertical="top"/>
    </xf>
    <xf numFmtId="164" fontId="7" fillId="0" borderId="28" xfId="0" applyNumberFormat="1" applyFont="1" applyBorder="1" applyAlignment="1">
      <alignment horizontal="right" vertical="top"/>
    </xf>
    <xf numFmtId="164" fontId="7" fillId="0" borderId="36" xfId="0" applyNumberFormat="1" applyFont="1" applyBorder="1" applyAlignment="1">
      <alignment horizontal="right" vertical="top"/>
    </xf>
    <xf numFmtId="164" fontId="7" fillId="0" borderId="38" xfId="0" applyNumberFormat="1" applyFont="1" applyBorder="1" applyAlignment="1">
      <alignment horizontal="right" vertical="top"/>
    </xf>
    <xf numFmtId="164" fontId="7" fillId="0" borderId="13" xfId="0" applyNumberFormat="1" applyFont="1" applyBorder="1" applyAlignment="1">
      <alignment horizontal="right" vertical="top"/>
    </xf>
    <xf numFmtId="0" fontId="7" fillId="0" borderId="57" xfId="0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right" vertical="top"/>
    </xf>
    <xf numFmtId="164" fontId="6" fillId="0" borderId="36" xfId="0" applyNumberFormat="1" applyFont="1" applyFill="1" applyBorder="1" applyAlignment="1">
      <alignment horizontal="right" vertical="top"/>
    </xf>
    <xf numFmtId="164" fontId="5" fillId="0" borderId="58" xfId="0" applyNumberFormat="1" applyFont="1" applyFill="1" applyBorder="1" applyAlignment="1">
      <alignment horizontal="right" vertical="top"/>
    </xf>
    <xf numFmtId="0" fontId="16" fillId="0" borderId="52" xfId="0" applyFont="1" applyFill="1" applyBorder="1" applyAlignment="1">
      <alignment vertical="top" wrapText="1"/>
    </xf>
    <xf numFmtId="164" fontId="7" fillId="0" borderId="28" xfId="0" applyNumberFormat="1" applyFont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top"/>
    </xf>
    <xf numFmtId="164" fontId="10" fillId="0" borderId="0" xfId="0" applyNumberFormat="1" applyFont="1" applyFill="1" applyBorder="1" applyAlignment="1">
      <alignment horizontal="center" vertical="top" wrapText="1"/>
    </xf>
    <xf numFmtId="164" fontId="6" fillId="2" borderId="59" xfId="0" applyNumberFormat="1" applyFont="1" applyFill="1" applyBorder="1" applyAlignment="1">
      <alignment horizontal="right" vertical="top"/>
    </xf>
    <xf numFmtId="164" fontId="6" fillId="0" borderId="31" xfId="0" applyNumberFormat="1" applyFont="1" applyFill="1" applyBorder="1" applyAlignment="1">
      <alignment horizontal="right" vertical="top"/>
    </xf>
    <xf numFmtId="164" fontId="6" fillId="0" borderId="32" xfId="0" applyNumberFormat="1" applyFont="1" applyFill="1" applyBorder="1" applyAlignment="1">
      <alignment horizontal="right" vertical="top"/>
    </xf>
    <xf numFmtId="164" fontId="6" fillId="2" borderId="1" xfId="0" applyNumberFormat="1" applyFont="1" applyFill="1" applyBorder="1" applyAlignment="1">
      <alignment horizontal="right" vertical="top"/>
    </xf>
    <xf numFmtId="164" fontId="6" fillId="2" borderId="60" xfId="0" applyNumberFormat="1" applyFont="1" applyFill="1" applyBorder="1" applyAlignment="1">
      <alignment horizontal="right" vertical="top"/>
    </xf>
    <xf numFmtId="0" fontId="5" fillId="0" borderId="15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/>
    </xf>
    <xf numFmtId="0" fontId="14" fillId="0" borderId="2" xfId="0" applyFont="1" applyBorder="1"/>
    <xf numFmtId="0" fontId="3" fillId="0" borderId="28" xfId="0" applyFont="1" applyBorder="1" applyAlignment="1">
      <alignment horizontal="center" vertical="top"/>
    </xf>
    <xf numFmtId="0" fontId="26" fillId="4" borderId="23" xfId="1" applyFont="1" applyFill="1" applyBorder="1" applyAlignment="1">
      <alignment horizontal="left" vertical="top" wrapText="1"/>
    </xf>
    <xf numFmtId="0" fontId="25" fillId="4" borderId="44" xfId="1" applyFont="1" applyFill="1" applyBorder="1" applyAlignment="1">
      <alignment horizontal="center" vertical="top"/>
    </xf>
    <xf numFmtId="0" fontId="25" fillId="4" borderId="23" xfId="1" applyFont="1" applyFill="1" applyBorder="1" applyAlignment="1">
      <alignment horizontal="center" vertical="top"/>
    </xf>
    <xf numFmtId="0" fontId="32" fillId="4" borderId="2" xfId="1" applyFont="1" applyFill="1" applyBorder="1" applyAlignment="1">
      <alignment horizontal="left" vertical="top" wrapText="1"/>
    </xf>
    <xf numFmtId="0" fontId="3" fillId="4" borderId="27" xfId="1" applyFont="1" applyFill="1" applyBorder="1" applyAlignment="1">
      <alignment horizontal="center" vertical="top"/>
    </xf>
    <xf numFmtId="0" fontId="3" fillId="4" borderId="2" xfId="1" applyFont="1" applyFill="1" applyBorder="1" applyAlignment="1">
      <alignment horizontal="center" vertical="top"/>
    </xf>
    <xf numFmtId="0" fontId="3" fillId="4" borderId="2" xfId="0" applyFont="1" applyFill="1" applyBorder="1"/>
    <xf numFmtId="0" fontId="3" fillId="4" borderId="2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center" wrapText="1"/>
    </xf>
    <xf numFmtId="49" fontId="16" fillId="4" borderId="2" xfId="0" applyNumberFormat="1" applyFont="1" applyFill="1" applyBorder="1" applyAlignment="1">
      <alignment vertical="top" wrapText="1"/>
    </xf>
    <xf numFmtId="0" fontId="16" fillId="0" borderId="2" xfId="1" applyFont="1" applyBorder="1" applyAlignment="1">
      <alignment horizontal="left" vertical="top" wrapText="1"/>
    </xf>
    <xf numFmtId="49" fontId="16" fillId="0" borderId="2" xfId="0" applyNumberFormat="1" applyFont="1" applyFill="1" applyBorder="1" applyAlignment="1">
      <alignment horizontal="center" vertical="top"/>
    </xf>
    <xf numFmtId="0" fontId="15" fillId="0" borderId="0" xfId="0" applyFont="1"/>
    <xf numFmtId="164" fontId="5" fillId="0" borderId="0" xfId="0" applyNumberFormat="1" applyFont="1" applyFill="1" applyBorder="1" applyAlignment="1">
      <alignment horizontal="center" vertical="top" wrapText="1"/>
    </xf>
    <xf numFmtId="0" fontId="2" fillId="7" borderId="57" xfId="0" applyFont="1" applyFill="1" applyBorder="1" applyAlignment="1">
      <alignment horizontal="left" vertical="center" wrapText="1"/>
    </xf>
    <xf numFmtId="164" fontId="13" fillId="7" borderId="12" xfId="0" applyNumberFormat="1" applyFont="1" applyFill="1" applyBorder="1" applyAlignment="1">
      <alignment horizontal="right" vertical="top" wrapText="1"/>
    </xf>
    <xf numFmtId="164" fontId="12" fillId="7" borderId="13" xfId="0" applyNumberFormat="1" applyFont="1" applyFill="1" applyBorder="1" applyAlignment="1">
      <alignment horizontal="right" vertical="top" wrapText="1"/>
    </xf>
    <xf numFmtId="164" fontId="12" fillId="7" borderId="18" xfId="0" applyNumberFormat="1" applyFont="1" applyFill="1" applyBorder="1" applyAlignment="1">
      <alignment horizontal="right" vertical="top" wrapText="1"/>
    </xf>
    <xf numFmtId="164" fontId="12" fillId="7" borderId="26" xfId="0" applyNumberFormat="1" applyFont="1" applyFill="1" applyBorder="1" applyAlignment="1">
      <alignment horizontal="right" vertical="top" wrapText="1"/>
    </xf>
    <xf numFmtId="0" fontId="6" fillId="7" borderId="52" xfId="0" applyFont="1" applyFill="1" applyBorder="1" applyAlignment="1">
      <alignment horizontal="center" vertical="top"/>
    </xf>
    <xf numFmtId="164" fontId="6" fillId="7" borderId="69" xfId="0" applyNumberFormat="1" applyFont="1" applyFill="1" applyBorder="1" applyAlignment="1">
      <alignment horizontal="right" vertical="top"/>
    </xf>
    <xf numFmtId="164" fontId="6" fillId="7" borderId="3" xfId="0" applyNumberFormat="1" applyFont="1" applyFill="1" applyBorder="1" applyAlignment="1">
      <alignment horizontal="right" vertical="top"/>
    </xf>
    <xf numFmtId="164" fontId="6" fillId="7" borderId="53" xfId="0" applyNumberFormat="1" applyFont="1" applyFill="1" applyBorder="1" applyAlignment="1">
      <alignment horizontal="right" vertical="top"/>
    </xf>
    <xf numFmtId="164" fontId="6" fillId="7" borderId="50" xfId="0" applyNumberFormat="1" applyFont="1" applyFill="1" applyBorder="1" applyAlignment="1">
      <alignment horizontal="right" vertical="top" wrapText="1"/>
    </xf>
    <xf numFmtId="0" fontId="1" fillId="7" borderId="70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 wrapText="1"/>
    </xf>
    <xf numFmtId="0" fontId="1" fillId="7" borderId="50" xfId="0" applyFont="1" applyFill="1" applyBorder="1" applyAlignment="1">
      <alignment horizontal="center" vertical="top" wrapText="1"/>
    </xf>
    <xf numFmtId="164" fontId="6" fillId="7" borderId="50" xfId="0" applyNumberFormat="1" applyFont="1" applyFill="1" applyBorder="1" applyAlignment="1">
      <alignment horizontal="right" vertical="top"/>
    </xf>
    <xf numFmtId="0" fontId="1" fillId="7" borderId="70" xfId="0" applyFont="1" applyFill="1" applyBorder="1" applyAlignment="1">
      <alignment horizontal="center" vertical="top" wrapText="1"/>
    </xf>
    <xf numFmtId="0" fontId="1" fillId="7" borderId="26" xfId="0" applyFont="1" applyFill="1" applyBorder="1" applyAlignment="1">
      <alignment horizontal="center" vertical="top"/>
    </xf>
    <xf numFmtId="164" fontId="5" fillId="7" borderId="29" xfId="0" applyNumberFormat="1" applyFont="1" applyFill="1" applyBorder="1" applyAlignment="1">
      <alignment horizontal="right" vertical="top"/>
    </xf>
    <xf numFmtId="164" fontId="7" fillId="7" borderId="30" xfId="0" applyNumberFormat="1" applyFont="1" applyFill="1" applyBorder="1" applyAlignment="1">
      <alignment horizontal="right" vertical="top"/>
    </xf>
    <xf numFmtId="164" fontId="7" fillId="7" borderId="31" xfId="0" applyNumberFormat="1" applyFont="1" applyFill="1" applyBorder="1" applyAlignment="1">
      <alignment horizontal="right" vertical="top"/>
    </xf>
    <xf numFmtId="164" fontId="5" fillId="7" borderId="16" xfId="0" applyNumberFormat="1" applyFont="1" applyFill="1" applyBorder="1" applyAlignment="1">
      <alignment horizontal="right" vertical="top"/>
    </xf>
    <xf numFmtId="164" fontId="5" fillId="7" borderId="28" xfId="0" applyNumberFormat="1" applyFont="1" applyFill="1" applyBorder="1" applyAlignment="1">
      <alignment horizontal="right" vertical="top"/>
    </xf>
    <xf numFmtId="164" fontId="7" fillId="7" borderId="28" xfId="0" applyNumberFormat="1" applyFont="1" applyFill="1" applyBorder="1" applyAlignment="1">
      <alignment horizontal="right" vertical="top"/>
    </xf>
    <xf numFmtId="164" fontId="7" fillId="7" borderId="35" xfId="0" applyNumberFormat="1" applyFont="1" applyFill="1" applyBorder="1" applyAlignment="1">
      <alignment horizontal="right" vertical="top"/>
    </xf>
    <xf numFmtId="164" fontId="5" fillId="7" borderId="45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center"/>
    </xf>
    <xf numFmtId="164" fontId="7" fillId="7" borderId="2" xfId="0" applyNumberFormat="1" applyFont="1" applyFill="1" applyBorder="1" applyAlignment="1">
      <alignment horizontal="right" vertical="center"/>
    </xf>
    <xf numFmtId="164" fontId="7" fillId="7" borderId="46" xfId="0" applyNumberFormat="1" applyFont="1" applyFill="1" applyBorder="1" applyAlignment="1">
      <alignment horizontal="right" vertical="center"/>
    </xf>
    <xf numFmtId="164" fontId="5" fillId="7" borderId="15" xfId="0" applyNumberFormat="1" applyFont="1" applyFill="1" applyBorder="1" applyAlignment="1">
      <alignment horizontal="right" vertical="top"/>
    </xf>
    <xf numFmtId="164" fontId="5" fillId="7" borderId="28" xfId="0" applyNumberFormat="1" applyFont="1" applyFill="1" applyBorder="1" applyAlignment="1">
      <alignment horizontal="right" vertical="center"/>
    </xf>
    <xf numFmtId="164" fontId="7" fillId="7" borderId="28" xfId="0" applyNumberFormat="1" applyFont="1" applyFill="1" applyBorder="1" applyAlignment="1">
      <alignment horizontal="right" vertical="center"/>
    </xf>
    <xf numFmtId="164" fontId="7" fillId="7" borderId="35" xfId="0" applyNumberFormat="1" applyFont="1" applyFill="1" applyBorder="1" applyAlignment="1">
      <alignment horizontal="right" vertical="center"/>
    </xf>
    <xf numFmtId="164" fontId="5" fillId="7" borderId="37" xfId="0" applyNumberFormat="1" applyFont="1" applyFill="1" applyBorder="1" applyAlignment="1">
      <alignment horizontal="right" vertical="top"/>
    </xf>
    <xf numFmtId="164" fontId="5" fillId="7" borderId="22" xfId="0" applyNumberFormat="1" applyFont="1" applyFill="1" applyBorder="1" applyAlignment="1">
      <alignment horizontal="right" vertical="top"/>
    </xf>
    <xf numFmtId="164" fontId="7" fillId="7" borderId="22" xfId="0" applyNumberFormat="1" applyFont="1" applyFill="1" applyBorder="1" applyAlignment="1">
      <alignment horizontal="right" vertical="top"/>
    </xf>
    <xf numFmtId="164" fontId="7" fillId="7" borderId="10" xfId="0" applyNumberFormat="1" applyFont="1" applyFill="1" applyBorder="1" applyAlignment="1">
      <alignment horizontal="right" vertical="top"/>
    </xf>
    <xf numFmtId="164" fontId="5" fillId="7" borderId="55" xfId="0" applyNumberFormat="1" applyFont="1" applyFill="1" applyBorder="1" applyAlignment="1">
      <alignment horizontal="right" vertical="top"/>
    </xf>
    <xf numFmtId="164" fontId="5" fillId="7" borderId="54" xfId="0" applyNumberFormat="1" applyFont="1" applyFill="1" applyBorder="1" applyAlignment="1">
      <alignment horizontal="right" vertical="top"/>
    </xf>
    <xf numFmtId="164" fontId="5" fillId="7" borderId="14" xfId="0" applyNumberFormat="1" applyFont="1" applyFill="1" applyBorder="1" applyAlignment="1">
      <alignment horizontal="right" vertical="top"/>
    </xf>
    <xf numFmtId="164" fontId="5" fillId="7" borderId="7" xfId="0" applyNumberFormat="1" applyFont="1" applyFill="1" applyBorder="1" applyAlignment="1">
      <alignment horizontal="right" vertical="top"/>
    </xf>
    <xf numFmtId="164" fontId="5" fillId="7" borderId="39" xfId="0" applyNumberFormat="1" applyFont="1" applyFill="1" applyBorder="1" applyAlignment="1">
      <alignment horizontal="right" vertical="top"/>
    </xf>
    <xf numFmtId="164" fontId="5" fillId="7" borderId="9" xfId="0" applyNumberFormat="1" applyFont="1" applyFill="1" applyBorder="1" applyAlignment="1">
      <alignment horizontal="right" vertical="top"/>
    </xf>
    <xf numFmtId="164" fontId="5" fillId="7" borderId="30" xfId="0" applyNumberFormat="1" applyFont="1" applyFill="1" applyBorder="1" applyAlignment="1">
      <alignment horizontal="right" vertical="top"/>
    </xf>
    <xf numFmtId="164" fontId="7" fillId="7" borderId="19" xfId="0" applyNumberFormat="1" applyFont="1" applyFill="1" applyBorder="1" applyAlignment="1">
      <alignment horizontal="right" vertical="top"/>
    </xf>
    <xf numFmtId="164" fontId="7" fillId="7" borderId="32" xfId="0" applyNumberFormat="1" applyFont="1" applyFill="1" applyBorder="1" applyAlignment="1">
      <alignment horizontal="right" vertical="top"/>
    </xf>
    <xf numFmtId="164" fontId="1" fillId="7" borderId="30" xfId="0" applyNumberFormat="1" applyFont="1" applyFill="1" applyBorder="1" applyAlignment="1">
      <alignment horizontal="right" vertical="top"/>
    </xf>
    <xf numFmtId="164" fontId="1" fillId="7" borderId="31" xfId="0" applyNumberFormat="1" applyFont="1" applyFill="1" applyBorder="1" applyAlignment="1">
      <alignment horizontal="right" vertical="top"/>
    </xf>
    <xf numFmtId="164" fontId="1" fillId="7" borderId="19" xfId="0" applyNumberFormat="1" applyFont="1" applyFill="1" applyBorder="1" applyAlignment="1">
      <alignment horizontal="right" vertical="top"/>
    </xf>
    <xf numFmtId="164" fontId="1" fillId="7" borderId="32" xfId="0" applyNumberFormat="1" applyFont="1" applyFill="1" applyBorder="1" applyAlignment="1">
      <alignment horizontal="right" vertical="top"/>
    </xf>
    <xf numFmtId="164" fontId="7" fillId="7" borderId="22" xfId="0" applyNumberFormat="1" applyFont="1" applyFill="1" applyBorder="1" applyAlignment="1">
      <alignment horizontal="right" vertical="center"/>
    </xf>
    <xf numFmtId="164" fontId="7" fillId="7" borderId="19" xfId="0" applyNumberFormat="1" applyFont="1" applyFill="1" applyBorder="1" applyAlignment="1">
      <alignment horizontal="right" vertical="center"/>
    </xf>
    <xf numFmtId="164" fontId="7" fillId="7" borderId="32" xfId="0" applyNumberFormat="1" applyFont="1" applyFill="1" applyBorder="1" applyAlignment="1">
      <alignment horizontal="right" vertical="center"/>
    </xf>
    <xf numFmtId="0" fontId="1" fillId="7" borderId="6" xfId="0" applyFont="1" applyFill="1" applyBorder="1" applyAlignment="1">
      <alignment horizontal="center" vertical="top" wrapText="1"/>
    </xf>
    <xf numFmtId="164" fontId="6" fillId="7" borderId="65" xfId="0" applyNumberFormat="1" applyFont="1" applyFill="1" applyBorder="1" applyAlignment="1">
      <alignment horizontal="right" vertical="top"/>
    </xf>
    <xf numFmtId="164" fontId="6" fillId="7" borderId="71" xfId="0" applyNumberFormat="1" applyFont="1" applyFill="1" applyBorder="1" applyAlignment="1">
      <alignment horizontal="right" vertical="top"/>
    </xf>
    <xf numFmtId="164" fontId="6" fillId="7" borderId="0" xfId="0" applyNumberFormat="1" applyFont="1" applyFill="1" applyBorder="1" applyAlignment="1">
      <alignment horizontal="right" vertical="top"/>
    </xf>
    <xf numFmtId="164" fontId="6" fillId="7" borderId="2" xfId="0" applyNumberFormat="1" applyFont="1" applyFill="1" applyBorder="1" applyAlignment="1">
      <alignment horizontal="right" vertical="top"/>
    </xf>
    <xf numFmtId="164" fontId="6" fillId="7" borderId="46" xfId="0" applyNumberFormat="1" applyFont="1" applyFill="1" applyBorder="1" applyAlignment="1">
      <alignment horizontal="right" vertical="top"/>
    </xf>
    <xf numFmtId="164" fontId="6" fillId="7" borderId="45" xfId="0" applyNumberFormat="1" applyFont="1" applyFill="1" applyBorder="1" applyAlignment="1">
      <alignment horizontal="right" vertical="top"/>
    </xf>
    <xf numFmtId="0" fontId="1" fillId="7" borderId="72" xfId="0" applyFont="1" applyFill="1" applyBorder="1" applyAlignment="1">
      <alignment horizontal="center" vertical="top" wrapText="1"/>
    </xf>
    <xf numFmtId="164" fontId="6" fillId="7" borderId="43" xfId="0" applyNumberFormat="1" applyFont="1" applyFill="1" applyBorder="1" applyAlignment="1">
      <alignment horizontal="right" vertical="top"/>
    </xf>
    <xf numFmtId="164" fontId="6" fillId="7" borderId="23" xfId="0" applyNumberFormat="1" applyFont="1" applyFill="1" applyBorder="1" applyAlignment="1">
      <alignment horizontal="right" vertical="top"/>
    </xf>
    <xf numFmtId="164" fontId="6" fillId="7" borderId="73" xfId="0" applyNumberFormat="1" applyFont="1" applyFill="1" applyBorder="1" applyAlignment="1">
      <alignment horizontal="right" vertical="top"/>
    </xf>
    <xf numFmtId="164" fontId="6" fillId="7" borderId="74" xfId="0" applyNumberFormat="1" applyFont="1" applyFill="1" applyBorder="1" applyAlignment="1">
      <alignment horizontal="right" vertical="top"/>
    </xf>
    <xf numFmtId="164" fontId="6" fillId="7" borderId="14" xfId="0" applyNumberFormat="1" applyFont="1" applyFill="1" applyBorder="1" applyAlignment="1">
      <alignment horizontal="right" vertical="top" wrapText="1"/>
    </xf>
    <xf numFmtId="164" fontId="6" fillId="7" borderId="6" xfId="0" applyNumberFormat="1" applyFont="1" applyFill="1" applyBorder="1" applyAlignment="1">
      <alignment horizontal="right" vertical="top"/>
    </xf>
    <xf numFmtId="164" fontId="5" fillId="7" borderId="31" xfId="0" applyNumberFormat="1" applyFont="1" applyFill="1" applyBorder="1" applyAlignment="1">
      <alignment horizontal="right" vertical="top"/>
    </xf>
    <xf numFmtId="164" fontId="5" fillId="7" borderId="19" xfId="0" applyNumberFormat="1" applyFont="1" applyFill="1" applyBorder="1" applyAlignment="1">
      <alignment horizontal="right" vertical="top"/>
    </xf>
    <xf numFmtId="164" fontId="5" fillId="7" borderId="32" xfId="0" applyNumberFormat="1" applyFont="1" applyFill="1" applyBorder="1" applyAlignment="1">
      <alignment horizontal="right" vertical="top"/>
    </xf>
    <xf numFmtId="164" fontId="5" fillId="7" borderId="35" xfId="0" applyNumberFormat="1" applyFont="1" applyFill="1" applyBorder="1" applyAlignment="1">
      <alignment horizontal="right" vertical="top"/>
    </xf>
    <xf numFmtId="164" fontId="5" fillId="7" borderId="58" xfId="0" applyNumberFormat="1" applyFont="1" applyFill="1" applyBorder="1" applyAlignment="1">
      <alignment horizontal="right" vertical="top"/>
    </xf>
    <xf numFmtId="0" fontId="31" fillId="7" borderId="50" xfId="0" applyFont="1" applyFill="1" applyBorder="1" applyAlignment="1">
      <alignment horizontal="center" vertical="top"/>
    </xf>
    <xf numFmtId="0" fontId="6" fillId="7" borderId="52" xfId="0" applyFont="1" applyFill="1" applyBorder="1" applyAlignment="1">
      <alignment horizontal="right" vertical="top" wrapText="1"/>
    </xf>
    <xf numFmtId="164" fontId="6" fillId="7" borderId="75" xfId="0" applyNumberFormat="1" applyFont="1" applyFill="1" applyBorder="1" applyAlignment="1">
      <alignment horizontal="right" vertical="top"/>
    </xf>
    <xf numFmtId="164" fontId="6" fillId="7" borderId="25" xfId="0" applyNumberFormat="1" applyFont="1" applyFill="1" applyBorder="1" applyAlignment="1">
      <alignment horizontal="right" vertical="top"/>
    </xf>
    <xf numFmtId="164" fontId="6" fillId="7" borderId="70" xfId="0" applyNumberFormat="1" applyFont="1" applyFill="1" applyBorder="1" applyAlignment="1">
      <alignment horizontal="right" vertical="top"/>
    </xf>
    <xf numFmtId="164" fontId="6" fillId="7" borderId="78" xfId="0" applyNumberFormat="1" applyFont="1" applyFill="1" applyBorder="1" applyAlignment="1">
      <alignment horizontal="right" vertical="top"/>
    </xf>
    <xf numFmtId="164" fontId="5" fillId="7" borderId="33" xfId="0" applyNumberFormat="1" applyFont="1" applyFill="1" applyBorder="1" applyAlignment="1">
      <alignment horizontal="right" vertical="top"/>
    </xf>
    <xf numFmtId="164" fontId="5" fillId="7" borderId="21" xfId="0" applyNumberFormat="1" applyFont="1" applyFill="1" applyBorder="1" applyAlignment="1">
      <alignment horizontal="right" vertical="top"/>
    </xf>
    <xf numFmtId="164" fontId="5" fillId="7" borderId="20" xfId="0" applyNumberFormat="1" applyFont="1" applyFill="1" applyBorder="1" applyAlignment="1">
      <alignment horizontal="right" vertical="top"/>
    </xf>
    <xf numFmtId="0" fontId="1" fillId="7" borderId="72" xfId="0" applyFont="1" applyFill="1" applyBorder="1" applyAlignment="1">
      <alignment horizontal="right" vertical="top" wrapText="1"/>
    </xf>
    <xf numFmtId="164" fontId="5" fillId="7" borderId="57" xfId="0" applyNumberFormat="1" applyFont="1" applyFill="1" applyBorder="1" applyAlignment="1">
      <alignment horizontal="right" vertical="top"/>
    </xf>
    <xf numFmtId="0" fontId="1" fillId="7" borderId="50" xfId="0" applyFont="1" applyFill="1" applyBorder="1" applyAlignment="1">
      <alignment horizontal="right" vertical="top" wrapText="1"/>
    </xf>
    <xf numFmtId="164" fontId="1" fillId="7" borderId="78" xfId="0" applyNumberFormat="1" applyFont="1" applyFill="1" applyBorder="1" applyAlignment="1">
      <alignment horizontal="right" vertical="top"/>
    </xf>
    <xf numFmtId="164" fontId="1" fillId="7" borderId="25" xfId="0" applyNumberFormat="1" applyFont="1" applyFill="1" applyBorder="1" applyAlignment="1">
      <alignment horizontal="right" vertical="top"/>
    </xf>
    <xf numFmtId="164" fontId="1" fillId="7" borderId="75" xfId="0" applyNumberFormat="1" applyFont="1" applyFill="1" applyBorder="1" applyAlignment="1">
      <alignment horizontal="right" vertical="top"/>
    </xf>
    <xf numFmtId="164" fontId="1" fillId="7" borderId="26" xfId="0" applyNumberFormat="1" applyFont="1" applyFill="1" applyBorder="1" applyAlignment="1">
      <alignment horizontal="right" vertical="top"/>
    </xf>
    <xf numFmtId="164" fontId="6" fillId="7" borderId="79" xfId="0" applyNumberFormat="1" applyFont="1" applyFill="1" applyBorder="1" applyAlignment="1">
      <alignment horizontal="right" vertical="top"/>
    </xf>
    <xf numFmtId="164" fontId="6" fillId="7" borderId="26" xfId="0" applyNumberFormat="1" applyFont="1" applyFill="1" applyBorder="1" applyAlignment="1">
      <alignment horizontal="right" vertical="top"/>
    </xf>
    <xf numFmtId="164" fontId="5" fillId="7" borderId="41" xfId="0" applyNumberFormat="1" applyFont="1" applyFill="1" applyBorder="1" applyAlignment="1">
      <alignment horizontal="right" vertical="top"/>
    </xf>
    <xf numFmtId="164" fontId="5" fillId="7" borderId="42" xfId="0" applyNumberFormat="1" applyFont="1" applyFill="1" applyBorder="1" applyAlignment="1">
      <alignment horizontal="right" vertical="top"/>
    </xf>
    <xf numFmtId="164" fontId="7" fillId="7" borderId="37" xfId="0" applyNumberFormat="1" applyFont="1" applyFill="1" applyBorder="1" applyAlignment="1">
      <alignment horizontal="right" vertical="top"/>
    </xf>
    <xf numFmtId="164" fontId="7" fillId="7" borderId="20" xfId="0" applyNumberFormat="1" applyFont="1" applyFill="1" applyBorder="1" applyAlignment="1">
      <alignment horizontal="right" vertical="top"/>
    </xf>
    <xf numFmtId="164" fontId="7" fillId="7" borderId="7" xfId="0" applyNumberFormat="1" applyFont="1" applyFill="1" applyBorder="1" applyAlignment="1">
      <alignment horizontal="right" vertical="top"/>
    </xf>
    <xf numFmtId="164" fontId="7" fillId="7" borderId="36" xfId="0" applyNumberFormat="1" applyFont="1" applyFill="1" applyBorder="1" applyAlignment="1">
      <alignment horizontal="right" vertical="top"/>
    </xf>
    <xf numFmtId="164" fontId="7" fillId="7" borderId="43" xfId="0" applyNumberFormat="1" applyFont="1" applyFill="1" applyBorder="1" applyAlignment="1">
      <alignment horizontal="right" vertical="top"/>
    </xf>
    <xf numFmtId="164" fontId="7" fillId="7" borderId="23" xfId="0" applyNumberFormat="1" applyFont="1" applyFill="1" applyBorder="1" applyAlignment="1">
      <alignment horizontal="right" vertical="top"/>
    </xf>
    <xf numFmtId="164" fontId="5" fillId="7" borderId="44" xfId="0" applyNumberFormat="1" applyFont="1" applyFill="1" applyBorder="1" applyAlignment="1">
      <alignment horizontal="right" vertical="top"/>
    </xf>
    <xf numFmtId="164" fontId="5" fillId="7" borderId="36" xfId="0" applyNumberFormat="1" applyFont="1" applyFill="1" applyBorder="1" applyAlignment="1">
      <alignment horizontal="right" vertical="top"/>
    </xf>
    <xf numFmtId="164" fontId="5" fillId="7" borderId="2" xfId="0" applyNumberFormat="1" applyFont="1" applyFill="1" applyBorder="1" applyAlignment="1">
      <alignment horizontal="right" vertical="top"/>
    </xf>
    <xf numFmtId="164" fontId="5" fillId="7" borderId="0" xfId="0" applyNumberFormat="1" applyFont="1" applyFill="1" applyBorder="1" applyAlignment="1">
      <alignment horizontal="right" vertical="top"/>
    </xf>
    <xf numFmtId="164" fontId="5" fillId="7" borderId="46" xfId="0" applyNumberFormat="1" applyFont="1" applyFill="1" applyBorder="1" applyAlignment="1">
      <alignment horizontal="right" vertical="top"/>
    </xf>
    <xf numFmtId="164" fontId="7" fillId="7" borderId="29" xfId="0" applyNumberFormat="1" applyFont="1" applyFill="1" applyBorder="1" applyAlignment="1">
      <alignment horizontal="right" vertical="top"/>
    </xf>
    <xf numFmtId="164" fontId="7" fillId="7" borderId="33" xfId="0" applyNumberFormat="1" applyFont="1" applyFill="1" applyBorder="1" applyAlignment="1">
      <alignment horizontal="right" vertical="top"/>
    </xf>
    <xf numFmtId="0" fontId="11" fillId="0" borderId="80" xfId="0" applyFont="1" applyFill="1" applyBorder="1" applyAlignment="1">
      <alignment vertical="center" textRotation="90" wrapText="1"/>
    </xf>
    <xf numFmtId="0" fontId="5" fillId="0" borderId="45" xfId="0" applyFont="1" applyFill="1" applyBorder="1" applyAlignment="1">
      <alignment horizontal="center" vertical="center" textRotation="90" wrapText="1"/>
    </xf>
    <xf numFmtId="0" fontId="39" fillId="0" borderId="45" xfId="0" applyFont="1" applyFill="1" applyBorder="1" applyAlignment="1">
      <alignment vertical="center" textRotation="90" wrapText="1"/>
    </xf>
    <xf numFmtId="0" fontId="14" fillId="0" borderId="45" xfId="0" applyFont="1" applyBorder="1" applyAlignment="1"/>
    <xf numFmtId="0" fontId="11" fillId="0" borderId="69" xfId="0" applyFont="1" applyFill="1" applyBorder="1" applyAlignment="1">
      <alignment vertical="center" textRotation="90" wrapText="1"/>
    </xf>
    <xf numFmtId="49" fontId="5" fillId="4" borderId="45" xfId="0" applyNumberFormat="1" applyFont="1" applyFill="1" applyBorder="1" applyAlignment="1">
      <alignment horizontal="center" vertical="top"/>
    </xf>
    <xf numFmtId="49" fontId="5" fillId="4" borderId="69" xfId="0" applyNumberFormat="1" applyFont="1" applyFill="1" applyBorder="1" applyAlignment="1">
      <alignment horizontal="center" vertical="top"/>
    </xf>
    <xf numFmtId="0" fontId="5" fillId="0" borderId="57" xfId="0" applyFont="1" applyFill="1" applyBorder="1" applyAlignment="1">
      <alignment horizontal="center" vertical="top" wrapText="1"/>
    </xf>
    <xf numFmtId="0" fontId="39" fillId="0" borderId="16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 textRotation="90" wrapText="1"/>
    </xf>
    <xf numFmtId="49" fontId="16" fillId="0" borderId="53" xfId="0" applyNumberFormat="1" applyFont="1" applyFill="1" applyBorder="1" applyAlignment="1">
      <alignment vertical="top"/>
    </xf>
    <xf numFmtId="164" fontId="40" fillId="0" borderId="18" xfId="0" applyNumberFormat="1" applyFont="1" applyFill="1" applyBorder="1" applyAlignment="1">
      <alignment horizontal="right" vertical="top" wrapText="1"/>
    </xf>
    <xf numFmtId="164" fontId="40" fillId="7" borderId="18" xfId="0" applyNumberFormat="1" applyFont="1" applyFill="1" applyBorder="1" applyAlignment="1">
      <alignment horizontal="right" vertical="top" wrapText="1"/>
    </xf>
    <xf numFmtId="0" fontId="41" fillId="0" borderId="0" xfId="0" applyFont="1"/>
    <xf numFmtId="164" fontId="42" fillId="7" borderId="32" xfId="0" applyNumberFormat="1" applyFont="1" applyFill="1" applyBorder="1" applyAlignment="1">
      <alignment horizontal="right" vertical="top"/>
    </xf>
    <xf numFmtId="0" fontId="0" fillId="0" borderId="81" xfId="0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81" xfId="0" applyFont="1" applyBorder="1" applyAlignment="1">
      <alignment vertical="top" wrapText="1"/>
    </xf>
    <xf numFmtId="164" fontId="5" fillId="0" borderId="19" xfId="0" applyNumberFormat="1" applyFont="1" applyFill="1" applyBorder="1" applyAlignment="1">
      <alignment horizontal="right" vertical="center"/>
    </xf>
    <xf numFmtId="164" fontId="7" fillId="0" borderId="18" xfId="0" applyNumberFormat="1" applyFont="1" applyFill="1" applyBorder="1" applyAlignment="1">
      <alignment horizontal="right" vertical="center" wrapText="1"/>
    </xf>
    <xf numFmtId="49" fontId="6" fillId="3" borderId="29" xfId="0" applyNumberFormat="1" applyFont="1" applyFill="1" applyBorder="1" applyAlignment="1">
      <alignment horizontal="center" vertical="top"/>
    </xf>
    <xf numFmtId="49" fontId="6" fillId="2" borderId="30" xfId="0" applyNumberFormat="1" applyFont="1" applyFill="1" applyBorder="1" applyAlignment="1">
      <alignment horizontal="center" vertical="top"/>
    </xf>
    <xf numFmtId="49" fontId="1" fillId="3" borderId="37" xfId="0" applyNumberFormat="1" applyFont="1" applyFill="1" applyBorder="1" applyAlignment="1">
      <alignment horizontal="center" vertical="top"/>
    </xf>
    <xf numFmtId="0" fontId="2" fillId="5" borderId="16" xfId="0" applyFont="1" applyFill="1" applyBorder="1" applyAlignment="1">
      <alignment horizontal="right" vertical="center" wrapText="1"/>
    </xf>
    <xf numFmtId="164" fontId="13" fillId="5" borderId="18" xfId="0" applyNumberFormat="1" applyFont="1" applyFill="1" applyBorder="1" applyAlignment="1">
      <alignment horizontal="right" vertical="top" wrapText="1"/>
    </xf>
    <xf numFmtId="0" fontId="2" fillId="5" borderId="16" xfId="0" applyFont="1" applyFill="1" applyBorder="1" applyAlignment="1">
      <alignment horizontal="right" vertical="top" wrapText="1"/>
    </xf>
    <xf numFmtId="0" fontId="14" fillId="0" borderId="28" xfId="0" applyFont="1" applyBorder="1"/>
    <xf numFmtId="0" fontId="3" fillId="0" borderId="28" xfId="1" applyFont="1" applyBorder="1" applyAlignment="1">
      <alignment horizontal="left" vertical="top" wrapText="1"/>
    </xf>
    <xf numFmtId="0" fontId="3" fillId="0" borderId="28" xfId="1" applyFont="1" applyBorder="1" applyAlignment="1">
      <alignment horizontal="center" vertical="top"/>
    </xf>
    <xf numFmtId="0" fontId="14" fillId="0" borderId="0" xfId="0" applyFont="1" applyAlignment="1">
      <alignment horizontal="center"/>
    </xf>
    <xf numFmtId="49" fontId="6" fillId="5" borderId="65" xfId="0" applyNumberFormat="1" applyFont="1" applyFill="1" applyBorder="1" applyAlignment="1">
      <alignment horizontal="center" vertical="top"/>
    </xf>
    <xf numFmtId="164" fontId="6" fillId="5" borderId="50" xfId="0" applyNumberFormat="1" applyFont="1" applyFill="1" applyBorder="1" applyAlignment="1">
      <alignment horizontal="right" vertical="top"/>
    </xf>
    <xf numFmtId="164" fontId="6" fillId="2" borderId="8" xfId="0" applyNumberFormat="1" applyFont="1" applyFill="1" applyBorder="1" applyAlignment="1">
      <alignment horizontal="right" vertical="top"/>
    </xf>
    <xf numFmtId="164" fontId="6" fillId="5" borderId="52" xfId="0" applyNumberFormat="1" applyFont="1" applyFill="1" applyBorder="1" applyAlignment="1">
      <alignment horizontal="right" vertical="top"/>
    </xf>
    <xf numFmtId="164" fontId="6" fillId="2" borderId="29" xfId="0" applyNumberFormat="1" applyFont="1" applyFill="1" applyBorder="1" applyAlignment="1">
      <alignment horizontal="right" vertical="top"/>
    </xf>
    <xf numFmtId="164" fontId="6" fillId="5" borderId="65" xfId="0" applyNumberFormat="1" applyFont="1" applyFill="1" applyBorder="1" applyAlignment="1">
      <alignment horizontal="right" vertical="top"/>
    </xf>
    <xf numFmtId="164" fontId="6" fillId="2" borderId="30" xfId="0" applyNumberFormat="1" applyFont="1" applyFill="1" applyBorder="1" applyAlignment="1">
      <alignment horizontal="right" vertical="top"/>
    </xf>
    <xf numFmtId="164" fontId="6" fillId="5" borderId="3" xfId="0" applyNumberFormat="1" applyFont="1" applyFill="1" applyBorder="1" applyAlignment="1">
      <alignment horizontal="right" vertical="top"/>
    </xf>
    <xf numFmtId="0" fontId="3" fillId="0" borderId="15" xfId="0" applyFont="1" applyBorder="1" applyAlignment="1">
      <alignment horizontal="left" vertical="top" wrapText="1" indent="3"/>
    </xf>
    <xf numFmtId="0" fontId="16" fillId="0" borderId="15" xfId="0" applyFont="1" applyBorder="1" applyAlignment="1">
      <alignment horizontal="left" vertical="top" wrapText="1" indent="2"/>
    </xf>
    <xf numFmtId="0" fontId="16" fillId="0" borderId="69" xfId="0" applyFont="1" applyBorder="1" applyAlignment="1">
      <alignment horizontal="left" vertical="top" wrapText="1" indent="2"/>
    </xf>
    <xf numFmtId="0" fontId="43" fillId="0" borderId="2" xfId="0" applyFont="1" applyBorder="1" applyAlignment="1">
      <alignment horizontal="center" vertical="top" wrapText="1"/>
    </xf>
    <xf numFmtId="164" fontId="1" fillId="3" borderId="18" xfId="0" applyNumberFormat="1" applyFont="1" applyFill="1" applyBorder="1" applyAlignment="1">
      <alignment horizontal="right" vertical="top"/>
    </xf>
    <xf numFmtId="164" fontId="1" fillId="3" borderId="10" xfId="0" applyNumberFormat="1" applyFont="1" applyFill="1" applyBorder="1" applyAlignment="1">
      <alignment horizontal="right" vertical="top"/>
    </xf>
    <xf numFmtId="164" fontId="1" fillId="3" borderId="37" xfId="0" applyNumberFormat="1" applyFont="1" applyFill="1" applyBorder="1" applyAlignment="1">
      <alignment horizontal="right" vertical="top"/>
    </xf>
    <xf numFmtId="164" fontId="1" fillId="3" borderId="19" xfId="0" applyNumberFormat="1" applyFont="1" applyFill="1" applyBorder="1" applyAlignment="1">
      <alignment horizontal="right" vertical="top"/>
    </xf>
    <xf numFmtId="164" fontId="6" fillId="2" borderId="31" xfId="0" applyNumberFormat="1" applyFont="1" applyFill="1" applyBorder="1" applyAlignment="1">
      <alignment horizontal="right" vertical="top"/>
    </xf>
    <xf numFmtId="49" fontId="46" fillId="0" borderId="14" xfId="0" applyNumberFormat="1" applyFont="1" applyFill="1" applyBorder="1" applyAlignment="1">
      <alignment vertical="top" wrapText="1"/>
    </xf>
    <xf numFmtId="164" fontId="42" fillId="7" borderId="29" xfId="0" applyNumberFormat="1" applyFont="1" applyFill="1" applyBorder="1" applyAlignment="1">
      <alignment horizontal="right" vertical="top"/>
    </xf>
    <xf numFmtId="164" fontId="42" fillId="7" borderId="30" xfId="0" applyNumberFormat="1" applyFont="1" applyFill="1" applyBorder="1" applyAlignment="1">
      <alignment horizontal="right" vertical="top"/>
    </xf>
    <xf numFmtId="49" fontId="46" fillId="0" borderId="46" xfId="0" applyNumberFormat="1" applyFont="1" applyFill="1" applyBorder="1" applyAlignment="1">
      <alignment vertical="top" wrapText="1"/>
    </xf>
    <xf numFmtId="164" fontId="44" fillId="7" borderId="30" xfId="0" applyNumberFormat="1" applyFont="1" applyFill="1" applyBorder="1" applyAlignment="1">
      <alignment horizontal="right" vertical="top"/>
    </xf>
    <xf numFmtId="164" fontId="42" fillId="7" borderId="31" xfId="0" applyNumberFormat="1" applyFont="1" applyFill="1" applyBorder="1" applyAlignment="1">
      <alignment horizontal="right" vertical="top"/>
    </xf>
    <xf numFmtId="164" fontId="42" fillId="7" borderId="22" xfId="0" applyNumberFormat="1" applyFont="1" applyFill="1" applyBorder="1" applyAlignment="1">
      <alignment horizontal="right" vertical="top"/>
    </xf>
    <xf numFmtId="164" fontId="42" fillId="7" borderId="10" xfId="0" applyNumberFormat="1" applyFont="1" applyFill="1" applyBorder="1" applyAlignment="1">
      <alignment horizontal="right" vertical="top"/>
    </xf>
    <xf numFmtId="164" fontId="44" fillId="0" borderId="12" xfId="0" applyNumberFormat="1" applyFont="1" applyFill="1" applyBorder="1" applyAlignment="1">
      <alignment horizontal="right" vertical="top" wrapText="1"/>
    </xf>
    <xf numFmtId="49" fontId="16" fillId="0" borderId="42" xfId="0" applyNumberFormat="1" applyFont="1" applyFill="1" applyBorder="1" applyAlignment="1">
      <alignment horizontal="center" vertical="top"/>
    </xf>
    <xf numFmtId="49" fontId="16" fillId="0" borderId="46" xfId="0" applyNumberFormat="1" applyFont="1" applyFill="1" applyBorder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42" fillId="7" borderId="15" xfId="0" applyNumberFormat="1" applyFont="1" applyFill="1" applyBorder="1" applyAlignment="1">
      <alignment horizontal="right" vertical="top"/>
    </xf>
    <xf numFmtId="164" fontId="42" fillId="7" borderId="28" xfId="0" applyNumberFormat="1" applyFont="1" applyFill="1" applyBorder="1" applyAlignment="1">
      <alignment horizontal="right" vertical="top"/>
    </xf>
    <xf numFmtId="164" fontId="42" fillId="7" borderId="41" xfId="0" applyNumberFormat="1" applyFont="1" applyFill="1" applyBorder="1" applyAlignment="1">
      <alignment horizontal="right" vertical="top"/>
    </xf>
    <xf numFmtId="164" fontId="42" fillId="7" borderId="42" xfId="0" applyNumberFormat="1" applyFont="1" applyFill="1" applyBorder="1" applyAlignment="1">
      <alignment horizontal="right" vertical="top"/>
    </xf>
    <xf numFmtId="164" fontId="42" fillId="7" borderId="19" xfId="0" applyNumberFormat="1" applyFont="1" applyFill="1" applyBorder="1" applyAlignment="1">
      <alignment horizontal="right" vertical="top"/>
    </xf>
    <xf numFmtId="49" fontId="16" fillId="0" borderId="46" xfId="0" applyNumberFormat="1" applyFont="1" applyFill="1" applyBorder="1" applyAlignment="1">
      <alignment vertical="top"/>
    </xf>
    <xf numFmtId="49" fontId="16" fillId="0" borderId="73" xfId="0" applyNumberFormat="1" applyFont="1" applyFill="1" applyBorder="1" applyAlignment="1">
      <alignment horizontal="center" vertical="top"/>
    </xf>
    <xf numFmtId="164" fontId="48" fillId="0" borderId="0" xfId="0" applyNumberFormat="1" applyFont="1"/>
    <xf numFmtId="0" fontId="36" fillId="0" borderId="0" xfId="0" applyFont="1"/>
    <xf numFmtId="0" fontId="1" fillId="7" borderId="52" xfId="0" applyFont="1" applyFill="1" applyBorder="1" applyAlignment="1">
      <alignment horizontal="right" vertical="top" wrapText="1"/>
    </xf>
    <xf numFmtId="49" fontId="5" fillId="0" borderId="0" xfId="0" applyNumberFormat="1" applyFont="1" applyFill="1" applyBorder="1" applyAlignment="1">
      <alignment vertical="top"/>
    </xf>
    <xf numFmtId="49" fontId="16" fillId="0" borderId="0" xfId="0" applyNumberFormat="1" applyFont="1" applyFill="1" applyBorder="1" applyAlignment="1">
      <alignment vertical="top"/>
    </xf>
    <xf numFmtId="0" fontId="7" fillId="0" borderId="8" xfId="0" applyFont="1" applyFill="1" applyBorder="1" applyAlignment="1">
      <alignment horizontal="center" vertical="top" wrapText="1"/>
    </xf>
    <xf numFmtId="164" fontId="7" fillId="0" borderId="29" xfId="0" applyNumberFormat="1" applyFont="1" applyFill="1" applyBorder="1" applyAlignment="1">
      <alignment horizontal="right" vertical="top"/>
    </xf>
    <xf numFmtId="164" fontId="1" fillId="0" borderId="34" xfId="0" applyNumberFormat="1" applyFont="1" applyFill="1" applyBorder="1" applyAlignment="1">
      <alignment horizontal="right" vertical="top"/>
    </xf>
    <xf numFmtId="164" fontId="7" fillId="7" borderId="34" xfId="0" applyNumberFormat="1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center" vertical="top" wrapText="1"/>
    </xf>
    <xf numFmtId="164" fontId="7" fillId="0" borderId="21" xfId="0" applyNumberFormat="1" applyFont="1" applyFill="1" applyBorder="1" applyAlignment="1">
      <alignment horizontal="right" vertical="top"/>
    </xf>
    <xf numFmtId="164" fontId="1" fillId="0" borderId="21" xfId="0" applyNumberFormat="1" applyFont="1" applyFill="1" applyBorder="1" applyAlignment="1">
      <alignment horizontal="right" vertical="top"/>
    </xf>
    <xf numFmtId="164" fontId="7" fillId="7" borderId="21" xfId="0" applyNumberFormat="1" applyFont="1" applyFill="1" applyBorder="1" applyAlignment="1">
      <alignment horizontal="right" vertical="top"/>
    </xf>
    <xf numFmtId="0" fontId="7" fillId="0" borderId="10" xfId="0" applyFont="1" applyFill="1" applyBorder="1" applyAlignment="1">
      <alignment horizontal="center" vertical="top" wrapText="1"/>
    </xf>
    <xf numFmtId="164" fontId="7" fillId="0" borderId="22" xfId="0" applyNumberFormat="1" applyFont="1" applyFill="1" applyBorder="1" applyAlignment="1">
      <alignment horizontal="right" vertical="top"/>
    </xf>
    <xf numFmtId="164" fontId="1" fillId="7" borderId="76" xfId="0" applyNumberFormat="1" applyFont="1" applyFill="1" applyBorder="1" applyAlignment="1">
      <alignment horizontal="right" vertical="top"/>
    </xf>
    <xf numFmtId="164" fontId="1" fillId="7" borderId="77" xfId="0" applyNumberFormat="1" applyFont="1" applyFill="1" applyBorder="1" applyAlignment="1">
      <alignment horizontal="right" vertical="top"/>
    </xf>
    <xf numFmtId="0" fontId="6" fillId="7" borderId="70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left" vertical="top" wrapText="1"/>
    </xf>
    <xf numFmtId="164" fontId="42" fillId="7" borderId="16" xfId="0" applyNumberFormat="1" applyFont="1" applyFill="1" applyBorder="1" applyAlignment="1">
      <alignment horizontal="right" vertical="top"/>
    </xf>
    <xf numFmtId="164" fontId="42" fillId="7" borderId="19" xfId="0" applyNumberFormat="1" applyFont="1" applyFill="1" applyBorder="1" applyAlignment="1">
      <alignment horizontal="right" vertical="center"/>
    </xf>
    <xf numFmtId="164" fontId="42" fillId="7" borderId="37" xfId="0" applyNumberFormat="1" applyFont="1" applyFill="1" applyBorder="1" applyAlignment="1">
      <alignment horizontal="right" vertical="top"/>
    </xf>
    <xf numFmtId="49" fontId="6" fillId="3" borderId="64" xfId="0" applyNumberFormat="1" applyFont="1" applyFill="1" applyBorder="1" applyAlignment="1">
      <alignment horizontal="center" vertical="top"/>
    </xf>
    <xf numFmtId="49" fontId="6" fillId="3" borderId="55" xfId="0" applyNumberFormat="1" applyFont="1" applyFill="1" applyBorder="1" applyAlignment="1">
      <alignment horizontal="center" vertical="top"/>
    </xf>
    <xf numFmtId="49" fontId="6" fillId="3" borderId="65" xfId="0" applyNumberFormat="1" applyFont="1" applyFill="1" applyBorder="1" applyAlignment="1">
      <alignment horizontal="center" vertical="top"/>
    </xf>
    <xf numFmtId="49" fontId="6" fillId="3" borderId="29" xfId="0" applyNumberFormat="1" applyFont="1" applyFill="1" applyBorder="1" applyAlignment="1">
      <alignment horizontal="center" vertical="top"/>
    </xf>
    <xf numFmtId="49" fontId="6" fillId="3" borderId="78" xfId="0" applyNumberFormat="1" applyFont="1" applyFill="1" applyBorder="1" applyAlignment="1">
      <alignment horizontal="center" vertical="top"/>
    </xf>
    <xf numFmtId="0" fontId="5" fillId="0" borderId="64" xfId="0" applyFont="1" applyFill="1" applyBorder="1" applyAlignment="1">
      <alignment horizontal="center" vertical="top" wrapText="1"/>
    </xf>
    <xf numFmtId="0" fontId="5" fillId="0" borderId="55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top" wrapText="1"/>
    </xf>
    <xf numFmtId="49" fontId="6" fillId="2" borderId="41" xfId="0" applyNumberFormat="1" applyFont="1" applyFill="1" applyBorder="1" applyAlignment="1">
      <alignment horizontal="center" vertical="top"/>
    </xf>
    <xf numFmtId="49" fontId="6" fillId="2" borderId="2" xfId="0" applyNumberFormat="1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center" vertical="top"/>
    </xf>
    <xf numFmtId="0" fontId="7" fillId="0" borderId="80" xfId="0" applyFont="1" applyFill="1" applyBorder="1" applyAlignment="1">
      <alignment horizontal="center" vertical="top" wrapText="1"/>
    </xf>
    <xf numFmtId="0" fontId="7" fillId="0" borderId="45" xfId="0" applyFont="1" applyFill="1" applyBorder="1" applyAlignment="1">
      <alignment horizontal="center" vertical="top" wrapText="1"/>
    </xf>
    <xf numFmtId="0" fontId="7" fillId="0" borderId="69" xfId="0" applyFont="1" applyFill="1" applyBorder="1" applyAlignment="1">
      <alignment horizontal="center" vertical="top" wrapText="1"/>
    </xf>
    <xf numFmtId="49" fontId="6" fillId="0" borderId="41" xfId="0" applyNumberFormat="1" applyFont="1" applyBorder="1" applyAlignment="1">
      <alignment horizontal="center" vertical="top"/>
    </xf>
    <xf numFmtId="49" fontId="6" fillId="0" borderId="2" xfId="0" applyNumberFormat="1" applyFont="1" applyBorder="1" applyAlignment="1">
      <alignment horizontal="center" vertical="top"/>
    </xf>
    <xf numFmtId="49" fontId="6" fillId="0" borderId="3" xfId="0" applyNumberFormat="1" applyFont="1" applyBorder="1" applyAlignment="1">
      <alignment horizontal="center" vertical="top"/>
    </xf>
    <xf numFmtId="49" fontId="6" fillId="2" borderId="67" xfId="0" applyNumberFormat="1" applyFont="1" applyFill="1" applyBorder="1" applyAlignment="1">
      <alignment horizontal="right" vertical="top"/>
    </xf>
    <xf numFmtId="49" fontId="6" fillId="2" borderId="68" xfId="0" applyNumberFormat="1" applyFont="1" applyFill="1" applyBorder="1" applyAlignment="1">
      <alignment horizontal="right" vertical="top"/>
    </xf>
    <xf numFmtId="49" fontId="5" fillId="0" borderId="41" xfId="0" applyNumberFormat="1" applyFont="1" applyFill="1" applyBorder="1" applyAlignment="1">
      <alignment horizontal="center" vertical="top"/>
    </xf>
    <xf numFmtId="49" fontId="5" fillId="0" borderId="2" xfId="0" applyNumberFormat="1" applyFont="1" applyFill="1" applyBorder="1" applyAlignment="1">
      <alignment horizontal="center" vertical="top"/>
    </xf>
    <xf numFmtId="49" fontId="5" fillId="0" borderId="3" xfId="0" applyNumberFormat="1" applyFont="1" applyFill="1" applyBorder="1" applyAlignment="1">
      <alignment horizontal="center" vertical="top"/>
    </xf>
    <xf numFmtId="49" fontId="16" fillId="0" borderId="42" xfId="0" applyNumberFormat="1" applyFont="1" applyFill="1" applyBorder="1" applyAlignment="1">
      <alignment horizontal="center" vertical="top"/>
    </xf>
    <xf numFmtId="49" fontId="16" fillId="0" borderId="46" xfId="0" applyNumberFormat="1" applyFont="1" applyFill="1" applyBorder="1" applyAlignment="1">
      <alignment horizontal="center" vertical="top"/>
    </xf>
    <xf numFmtId="49" fontId="16" fillId="0" borderId="53" xfId="0" applyNumberFormat="1" applyFont="1" applyFill="1" applyBorder="1" applyAlignment="1">
      <alignment horizontal="center" vertical="top"/>
    </xf>
    <xf numFmtId="49" fontId="3" fillId="0" borderId="82" xfId="0" applyNumberFormat="1" applyFont="1" applyFill="1" applyBorder="1" applyAlignment="1">
      <alignment horizontal="left" vertical="top" wrapText="1"/>
    </xf>
    <xf numFmtId="49" fontId="3" fillId="0" borderId="27" xfId="0" applyNumberFormat="1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center" vertical="top"/>
    </xf>
    <xf numFmtId="49" fontId="16" fillId="0" borderId="46" xfId="0" applyNumberFormat="1" applyFont="1" applyBorder="1" applyAlignment="1">
      <alignment horizontal="center" vertical="top"/>
    </xf>
    <xf numFmtId="49" fontId="16" fillId="0" borderId="53" xfId="0" applyNumberFormat="1" applyFont="1" applyBorder="1" applyAlignment="1">
      <alignment horizontal="center" vertical="top"/>
    </xf>
    <xf numFmtId="49" fontId="1" fillId="2" borderId="41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49" fontId="1" fillId="2" borderId="3" xfId="0" applyNumberFormat="1" applyFont="1" applyFill="1" applyBorder="1" applyAlignment="1">
      <alignment horizontal="center" vertical="top"/>
    </xf>
    <xf numFmtId="0" fontId="2" fillId="0" borderId="42" xfId="0" applyFont="1" applyFill="1" applyBorder="1" applyAlignment="1">
      <alignment horizontal="left" vertical="top" wrapText="1"/>
    </xf>
    <xf numFmtId="0" fontId="2" fillId="0" borderId="46" xfId="0" applyFont="1" applyFill="1" applyBorder="1" applyAlignment="1">
      <alignment horizontal="left" vertical="top" wrapText="1"/>
    </xf>
    <xf numFmtId="0" fontId="2" fillId="0" borderId="53" xfId="0" applyFont="1" applyFill="1" applyBorder="1" applyAlignment="1">
      <alignment horizontal="left" vertical="top" wrapText="1"/>
    </xf>
    <xf numFmtId="49" fontId="7" fillId="0" borderId="41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0" fontId="16" fillId="0" borderId="42" xfId="0" applyFont="1" applyFill="1" applyBorder="1" applyAlignment="1">
      <alignment horizontal="left" vertical="top" wrapText="1"/>
    </xf>
    <xf numFmtId="0" fontId="16" fillId="0" borderId="46" xfId="0" applyFont="1" applyFill="1" applyBorder="1" applyAlignment="1">
      <alignment horizontal="left" vertical="top" wrapText="1"/>
    </xf>
    <xf numFmtId="0" fontId="16" fillId="0" borderId="53" xfId="0" applyFont="1" applyFill="1" applyBorder="1" applyAlignment="1">
      <alignment horizontal="left" vertical="top" wrapText="1"/>
    </xf>
    <xf numFmtId="49" fontId="16" fillId="0" borderId="77" xfId="0" applyNumberFormat="1" applyFont="1" applyFill="1" applyBorder="1" applyAlignment="1">
      <alignment horizontal="center" vertical="top"/>
    </xf>
    <xf numFmtId="49" fontId="1" fillId="0" borderId="41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49" fontId="6" fillId="2" borderId="0" xfId="0" applyNumberFormat="1" applyFont="1" applyFill="1" applyBorder="1" applyAlignment="1">
      <alignment horizontal="center" vertical="top" wrapText="1"/>
    </xf>
    <xf numFmtId="49" fontId="6" fillId="2" borderId="71" xfId="0" applyNumberFormat="1" applyFont="1" applyFill="1" applyBorder="1" applyAlignment="1">
      <alignment horizontal="center" vertical="top" wrapText="1"/>
    </xf>
    <xf numFmtId="0" fontId="7" fillId="0" borderId="37" xfId="0" applyFont="1" applyFill="1" applyBorder="1" applyAlignment="1">
      <alignment horizontal="left" vertical="top" wrapText="1"/>
    </xf>
    <xf numFmtId="0" fontId="7" fillId="0" borderId="19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49" fontId="6" fillId="0" borderId="30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9" fontId="6" fillId="0" borderId="25" xfId="0" applyNumberFormat="1" applyFont="1" applyFill="1" applyBorder="1" applyAlignment="1">
      <alignment horizontal="center" vertical="top"/>
    </xf>
    <xf numFmtId="49" fontId="7" fillId="0" borderId="28" xfId="0" applyNumberFormat="1" applyFont="1" applyFill="1" applyBorder="1" applyAlignment="1">
      <alignment horizontal="center" vertical="top"/>
    </xf>
    <xf numFmtId="49" fontId="7" fillId="0" borderId="2" xfId="0" applyNumberFormat="1" applyFont="1" applyFill="1" applyBorder="1" applyAlignment="1">
      <alignment horizontal="center" vertical="top"/>
    </xf>
    <xf numFmtId="49" fontId="7" fillId="0" borderId="25" xfId="0" applyNumberFormat="1" applyFont="1" applyFill="1" applyBorder="1" applyAlignment="1">
      <alignment horizontal="center" vertical="top"/>
    </xf>
    <xf numFmtId="49" fontId="1" fillId="3" borderId="64" xfId="0" applyNumberFormat="1" applyFont="1" applyFill="1" applyBorder="1" applyAlignment="1">
      <alignment horizontal="center" vertical="top"/>
    </xf>
    <xf numFmtId="49" fontId="1" fillId="3" borderId="55" xfId="0" applyNumberFormat="1" applyFont="1" applyFill="1" applyBorder="1" applyAlignment="1">
      <alignment horizontal="center" vertical="top"/>
    </xf>
    <xf numFmtId="49" fontId="1" fillId="3" borderId="65" xfId="0" applyNumberFormat="1" applyFont="1" applyFill="1" applyBorder="1" applyAlignment="1">
      <alignment horizontal="center" vertical="top"/>
    </xf>
    <xf numFmtId="0" fontId="15" fillId="2" borderId="83" xfId="0" applyFont="1" applyFill="1" applyBorder="1" applyAlignment="1">
      <alignment horizontal="left" vertical="top" wrapText="1"/>
    </xf>
    <xf numFmtId="0" fontId="15" fillId="2" borderId="67" xfId="0" applyFont="1" applyFill="1" applyBorder="1" applyAlignment="1">
      <alignment horizontal="left" vertical="top" wrapText="1"/>
    </xf>
    <xf numFmtId="0" fontId="15" fillId="2" borderId="68" xfId="0" applyFont="1" applyFill="1" applyBorder="1" applyAlignment="1">
      <alignment horizontal="left" vertical="top" wrapText="1"/>
    </xf>
    <xf numFmtId="164" fontId="2" fillId="0" borderId="4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5" fillId="0" borderId="71" xfId="0" applyFont="1" applyBorder="1" applyAlignment="1">
      <alignment horizontal="center" vertical="top" wrapText="1"/>
    </xf>
    <xf numFmtId="0" fontId="1" fillId="0" borderId="58" xfId="0" applyFont="1" applyBorder="1" applyAlignment="1">
      <alignment horizontal="center" vertical="center" wrapText="1"/>
    </xf>
    <xf numFmtId="0" fontId="1" fillId="0" borderId="71" xfId="0" applyFont="1" applyBorder="1" applyAlignment="1">
      <alignment horizontal="center" vertical="top" wrapText="1"/>
    </xf>
    <xf numFmtId="164" fontId="6" fillId="5" borderId="57" xfId="0" applyNumberFormat="1" applyFont="1" applyFill="1" applyBorder="1" applyAlignment="1">
      <alignment horizontal="center" vertical="top" wrapText="1"/>
    </xf>
    <xf numFmtId="164" fontId="6" fillId="5" borderId="34" xfId="0" applyNumberFormat="1" applyFont="1" applyFill="1" applyBorder="1" applyAlignment="1">
      <alignment horizontal="center" vertical="top" wrapText="1"/>
    </xf>
    <xf numFmtId="164" fontId="6" fillId="5" borderId="8" xfId="0" applyNumberFormat="1" applyFont="1" applyFill="1" applyBorder="1" applyAlignment="1">
      <alignment horizontal="center" vertical="top" wrapText="1"/>
    </xf>
    <xf numFmtId="0" fontId="15" fillId="0" borderId="42" xfId="0" applyFont="1" applyFill="1" applyBorder="1" applyAlignment="1">
      <alignment horizontal="left" vertical="top" wrapText="1"/>
    </xf>
    <xf numFmtId="0" fontId="15" fillId="0" borderId="46" xfId="0" applyFont="1" applyFill="1" applyBorder="1" applyAlignment="1">
      <alignment horizontal="left" vertical="top" wrapText="1"/>
    </xf>
    <xf numFmtId="0" fontId="15" fillId="0" borderId="53" xfId="0" applyFont="1" applyFill="1" applyBorder="1" applyAlignment="1">
      <alignment horizontal="left" vertical="top" wrapText="1"/>
    </xf>
    <xf numFmtId="0" fontId="5" fillId="0" borderId="64" xfId="0" applyFont="1" applyFill="1" applyBorder="1" applyAlignment="1">
      <alignment horizontal="center" vertical="center" textRotation="90" wrapText="1"/>
    </xf>
    <xf numFmtId="0" fontId="5" fillId="0" borderId="55" xfId="0" applyFont="1" applyFill="1" applyBorder="1" applyAlignment="1">
      <alignment horizontal="center" vertical="center" textRotation="90" wrapText="1"/>
    </xf>
    <xf numFmtId="0" fontId="5" fillId="0" borderId="65" xfId="0" applyFont="1" applyFill="1" applyBorder="1" applyAlignment="1">
      <alignment horizontal="center" vertical="center" textRotation="90" wrapText="1"/>
    </xf>
    <xf numFmtId="49" fontId="5" fillId="0" borderId="41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7" fillId="0" borderId="41" xfId="0" applyNumberFormat="1" applyFont="1" applyFill="1" applyBorder="1" applyAlignment="1">
      <alignment horizontal="center" vertical="top"/>
    </xf>
    <xf numFmtId="49" fontId="7" fillId="0" borderId="3" xfId="0" applyNumberFormat="1" applyFont="1" applyFill="1" applyBorder="1" applyAlignment="1">
      <alignment horizontal="center" vertical="top"/>
    </xf>
    <xf numFmtId="164" fontId="15" fillId="7" borderId="69" xfId="0" applyNumberFormat="1" applyFont="1" applyFill="1" applyBorder="1" applyAlignment="1">
      <alignment horizontal="center" vertical="top" wrapText="1"/>
    </xf>
    <xf numFmtId="164" fontId="15" fillId="7" borderId="71" xfId="0" applyNumberFormat="1" applyFont="1" applyFill="1" applyBorder="1" applyAlignment="1">
      <alignment horizontal="center" vertical="top" wrapText="1"/>
    </xf>
    <xf numFmtId="164" fontId="15" fillId="7" borderId="52" xfId="0" applyNumberFormat="1" applyFont="1" applyFill="1" applyBorder="1" applyAlignment="1">
      <alignment horizontal="center" vertical="top" wrapText="1"/>
    </xf>
    <xf numFmtId="164" fontId="5" fillId="0" borderId="15" xfId="0" applyNumberFormat="1" applyFont="1" applyFill="1" applyBorder="1" applyAlignment="1">
      <alignment horizontal="center" vertical="top" wrapText="1"/>
    </xf>
    <xf numFmtId="164" fontId="5" fillId="0" borderId="38" xfId="0" applyNumberFormat="1" applyFont="1" applyFill="1" applyBorder="1" applyAlignment="1">
      <alignment horizontal="center" vertical="top" wrapText="1"/>
    </xf>
    <xf numFmtId="164" fontId="5" fillId="0" borderId="9" xfId="0" applyNumberFormat="1" applyFont="1" applyFill="1" applyBorder="1" applyAlignment="1">
      <alignment horizontal="center" vertical="top" wrapText="1"/>
    </xf>
    <xf numFmtId="49" fontId="1" fillId="2" borderId="83" xfId="0" applyNumberFormat="1" applyFont="1" applyFill="1" applyBorder="1" applyAlignment="1">
      <alignment horizontal="right" vertical="top"/>
    </xf>
    <xf numFmtId="49" fontId="1" fillId="2" borderId="67" xfId="0" applyNumberFormat="1" applyFont="1" applyFill="1" applyBorder="1" applyAlignment="1">
      <alignment horizontal="right" vertical="top"/>
    </xf>
    <xf numFmtId="164" fontId="5" fillId="0" borderId="15" xfId="0" applyNumberFormat="1" applyFont="1" applyBorder="1" applyAlignment="1">
      <alignment horizontal="center" vertical="top" wrapText="1"/>
    </xf>
    <xf numFmtId="164" fontId="5" fillId="0" borderId="38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0" fontId="15" fillId="0" borderId="27" xfId="0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164" fontId="5" fillId="0" borderId="16" xfId="0" applyNumberFormat="1" applyFont="1" applyFill="1" applyBorder="1" applyAlignment="1">
      <alignment horizontal="center" vertical="top" wrapText="1"/>
    </xf>
    <xf numFmtId="164" fontId="5" fillId="0" borderId="21" xfId="0" applyNumberFormat="1" applyFont="1" applyFill="1" applyBorder="1" applyAlignment="1">
      <alignment horizontal="center" vertical="top" wrapText="1"/>
    </xf>
    <xf numFmtId="164" fontId="5" fillId="0" borderId="10" xfId="0" applyNumberFormat="1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164" fontId="5" fillId="0" borderId="16" xfId="0" applyNumberFormat="1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10" xfId="0" applyNumberFormat="1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49" fontId="6" fillId="5" borderId="4" xfId="0" applyNumberFormat="1" applyFont="1" applyFill="1" applyBorder="1" applyAlignment="1">
      <alignment horizontal="right" vertical="top"/>
    </xf>
    <xf numFmtId="49" fontId="6" fillId="5" borderId="71" xfId="0" applyNumberFormat="1" applyFont="1" applyFill="1" applyBorder="1" applyAlignment="1">
      <alignment horizontal="right" vertical="top"/>
    </xf>
    <xf numFmtId="49" fontId="6" fillId="5" borderId="52" xfId="0" applyNumberFormat="1" applyFont="1" applyFill="1" applyBorder="1" applyAlignment="1">
      <alignment horizontal="right" vertical="top"/>
    </xf>
    <xf numFmtId="49" fontId="9" fillId="0" borderId="0" xfId="0" applyNumberFormat="1" applyFont="1" applyFill="1" applyBorder="1" applyAlignment="1">
      <alignment horizontal="center" wrapText="1"/>
    </xf>
    <xf numFmtId="0" fontId="1" fillId="5" borderId="57" xfId="0" applyFont="1" applyFill="1" applyBorder="1" applyAlignment="1">
      <alignment horizontal="right" vertical="top" wrapText="1"/>
    </xf>
    <xf numFmtId="0" fontId="1" fillId="5" borderId="34" xfId="0" applyFont="1" applyFill="1" applyBorder="1" applyAlignment="1">
      <alignment horizontal="right" vertical="top" wrapText="1"/>
    </xf>
    <xf numFmtId="0" fontId="1" fillId="5" borderId="8" xfId="0" applyFont="1" applyFill="1" applyBorder="1" applyAlignment="1">
      <alignment horizontal="right" vertical="top" wrapText="1"/>
    </xf>
    <xf numFmtId="164" fontId="6" fillId="5" borderId="16" xfId="0" applyNumberFormat="1" applyFont="1" applyFill="1" applyBorder="1" applyAlignment="1">
      <alignment horizontal="center" vertical="top" wrapText="1"/>
    </xf>
    <xf numFmtId="164" fontId="6" fillId="5" borderId="21" xfId="0" applyNumberFormat="1" applyFont="1" applyFill="1" applyBorder="1" applyAlignment="1">
      <alignment horizontal="center" vertical="top" wrapText="1"/>
    </xf>
    <xf numFmtId="164" fontId="6" fillId="5" borderId="10" xfId="0" applyNumberFormat="1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164" fontId="15" fillId="0" borderId="66" xfId="0" applyNumberFormat="1" applyFont="1" applyBorder="1" applyAlignment="1">
      <alignment horizontal="center"/>
    </xf>
    <xf numFmtId="0" fontId="15" fillId="0" borderId="66" xfId="0" applyFont="1" applyBorder="1" applyAlignment="1">
      <alignment horizontal="center"/>
    </xf>
    <xf numFmtId="0" fontId="1" fillId="7" borderId="69" xfId="0" applyFont="1" applyFill="1" applyBorder="1" applyAlignment="1">
      <alignment horizontal="right" vertical="top" wrapText="1"/>
    </xf>
    <xf numFmtId="0" fontId="1" fillId="7" borderId="71" xfId="0" applyFont="1" applyFill="1" applyBorder="1" applyAlignment="1">
      <alignment horizontal="right" vertical="top" wrapText="1"/>
    </xf>
    <xf numFmtId="0" fontId="1" fillId="7" borderId="52" xfId="0" applyFont="1" applyFill="1" applyBorder="1" applyAlignment="1">
      <alignment horizontal="right" vertical="top" wrapText="1"/>
    </xf>
    <xf numFmtId="0" fontId="1" fillId="5" borderId="16" xfId="0" applyFont="1" applyFill="1" applyBorder="1" applyAlignment="1">
      <alignment horizontal="right" vertical="top" wrapText="1"/>
    </xf>
    <xf numFmtId="0" fontId="1" fillId="5" borderId="21" xfId="0" applyFont="1" applyFill="1" applyBorder="1" applyAlignment="1">
      <alignment horizontal="right" vertical="top" wrapText="1"/>
    </xf>
    <xf numFmtId="0" fontId="1" fillId="5" borderId="10" xfId="0" applyFont="1" applyFill="1" applyBorder="1" applyAlignment="1">
      <alignment horizontal="right" vertical="top" wrapText="1"/>
    </xf>
    <xf numFmtId="49" fontId="6" fillId="2" borderId="30" xfId="0" applyNumberFormat="1" applyFont="1" applyFill="1" applyBorder="1" applyAlignment="1">
      <alignment horizontal="center" vertical="top"/>
    </xf>
    <xf numFmtId="49" fontId="6" fillId="2" borderId="25" xfId="0" applyNumberFormat="1" applyFont="1" applyFill="1" applyBorder="1" applyAlignment="1">
      <alignment horizontal="center" vertical="top"/>
    </xf>
    <xf numFmtId="49" fontId="1" fillId="3" borderId="61" xfId="0" applyNumberFormat="1" applyFont="1" applyFill="1" applyBorder="1" applyAlignment="1">
      <alignment horizontal="center" vertical="top"/>
    </xf>
    <xf numFmtId="49" fontId="1" fillId="3" borderId="62" xfId="0" applyNumberFormat="1" applyFont="1" applyFill="1" applyBorder="1" applyAlignment="1">
      <alignment horizontal="center" vertical="top"/>
    </xf>
    <xf numFmtId="49" fontId="1" fillId="3" borderId="63" xfId="0" applyNumberFormat="1" applyFont="1" applyFill="1" applyBorder="1" applyAlignment="1">
      <alignment horizontal="center" vertical="top"/>
    </xf>
    <xf numFmtId="49" fontId="16" fillId="0" borderId="35" xfId="0" applyNumberFormat="1" applyFont="1" applyFill="1" applyBorder="1" applyAlignment="1">
      <alignment horizontal="center" vertical="top"/>
    </xf>
    <xf numFmtId="49" fontId="1" fillId="0" borderId="30" xfId="0" applyNumberFormat="1" applyFont="1" applyBorder="1" applyAlignment="1">
      <alignment horizontal="center" vertical="top"/>
    </xf>
    <xf numFmtId="49" fontId="1" fillId="0" borderId="25" xfId="0" applyNumberFormat="1" applyFont="1" applyBorder="1" applyAlignment="1">
      <alignment horizontal="center" vertical="top"/>
    </xf>
    <xf numFmtId="0" fontId="7" fillId="0" borderId="80" xfId="0" applyFont="1" applyFill="1" applyBorder="1" applyAlignment="1">
      <alignment horizontal="center" vertical="center" textRotation="90" wrapText="1"/>
    </xf>
    <xf numFmtId="0" fontId="7" fillId="0" borderId="45" xfId="0" applyFont="1" applyFill="1" applyBorder="1" applyAlignment="1">
      <alignment horizontal="center" vertical="center" textRotation="90" wrapText="1"/>
    </xf>
    <xf numFmtId="0" fontId="7" fillId="0" borderId="69" xfId="0" applyFont="1" applyFill="1" applyBorder="1" applyAlignment="1">
      <alignment horizontal="center" vertical="center" textRotation="90" wrapText="1"/>
    </xf>
    <xf numFmtId="0" fontId="15" fillId="2" borderId="71" xfId="0" applyFont="1" applyFill="1" applyBorder="1" applyAlignment="1">
      <alignment horizontal="left" vertical="top" wrapText="1"/>
    </xf>
    <xf numFmtId="49" fontId="6" fillId="3" borderId="7" xfId="0" applyNumberFormat="1" applyFont="1" applyFill="1" applyBorder="1" applyAlignment="1">
      <alignment horizontal="center" vertical="top"/>
    </xf>
    <xf numFmtId="49" fontId="1" fillId="3" borderId="29" xfId="0" applyNumberFormat="1" applyFont="1" applyFill="1" applyBorder="1" applyAlignment="1">
      <alignment horizontal="center" vertical="top"/>
    </xf>
    <xf numFmtId="49" fontId="1" fillId="3" borderId="78" xfId="0" applyNumberFormat="1" applyFont="1" applyFill="1" applyBorder="1" applyAlignment="1">
      <alignment horizontal="center" vertical="top"/>
    </xf>
    <xf numFmtId="49" fontId="45" fillId="4" borderId="82" xfId="0" applyNumberFormat="1" applyFont="1" applyFill="1" applyBorder="1" applyAlignment="1">
      <alignment horizontal="left" vertical="top" wrapText="1"/>
    </xf>
    <xf numFmtId="49" fontId="45" fillId="4" borderId="27" xfId="0" applyNumberFormat="1" applyFont="1" applyFill="1" applyBorder="1" applyAlignment="1">
      <alignment horizontal="left" vertical="top" wrapText="1"/>
    </xf>
    <xf numFmtId="49" fontId="45" fillId="4" borderId="4" xfId="0" applyNumberFormat="1" applyFont="1" applyFill="1" applyBorder="1" applyAlignment="1">
      <alignment horizontal="left" vertical="top" wrapText="1"/>
    </xf>
    <xf numFmtId="49" fontId="1" fillId="2" borderId="30" xfId="0" applyNumberFormat="1" applyFont="1" applyFill="1" applyBorder="1" applyAlignment="1">
      <alignment horizontal="center" vertical="top"/>
    </xf>
    <xf numFmtId="49" fontId="1" fillId="2" borderId="25" xfId="0" applyNumberFormat="1" applyFont="1" applyFill="1" applyBorder="1" applyAlignment="1">
      <alignment horizontal="center" vertical="top"/>
    </xf>
    <xf numFmtId="49" fontId="7" fillId="0" borderId="41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9" fontId="5" fillId="0" borderId="57" xfId="0" applyNumberFormat="1" applyFont="1" applyFill="1" applyBorder="1" applyAlignment="1">
      <alignment horizontal="center" vertical="top"/>
    </xf>
    <xf numFmtId="49" fontId="5" fillId="0" borderId="45" xfId="0" applyNumberFormat="1" applyFont="1" applyFill="1" applyBorder="1" applyAlignment="1">
      <alignment horizontal="center" vertical="top"/>
    </xf>
    <xf numFmtId="49" fontId="5" fillId="0" borderId="72" xfId="0" applyNumberFormat="1" applyFont="1" applyFill="1" applyBorder="1" applyAlignment="1">
      <alignment horizontal="center" vertical="top"/>
    </xf>
    <xf numFmtId="0" fontId="15" fillId="0" borderId="31" xfId="0" applyFont="1" applyFill="1" applyBorder="1" applyAlignment="1">
      <alignment horizontal="left" vertical="top" wrapText="1"/>
    </xf>
    <xf numFmtId="0" fontId="35" fillId="0" borderId="46" xfId="0" applyFont="1" applyFill="1" applyBorder="1" applyAlignment="1">
      <alignment horizontal="left" vertical="top" wrapText="1"/>
    </xf>
    <xf numFmtId="0" fontId="35" fillId="0" borderId="77" xfId="0" applyFont="1" applyFill="1" applyBorder="1" applyAlignment="1">
      <alignment horizontal="left" vertical="top" wrapText="1"/>
    </xf>
    <xf numFmtId="49" fontId="46" fillId="0" borderId="46" xfId="0" applyNumberFormat="1" applyFont="1" applyFill="1" applyBorder="1" applyAlignment="1">
      <alignment horizontal="left" vertical="top" wrapText="1"/>
    </xf>
    <xf numFmtId="49" fontId="46" fillId="0" borderId="53" xfId="0" applyNumberFormat="1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8" fillId="0" borderId="29" xfId="0" applyFont="1" applyBorder="1" applyAlignment="1">
      <alignment horizontal="center" vertical="center" textRotation="90" wrapText="1"/>
    </xf>
    <xf numFmtId="0" fontId="8" fillId="0" borderId="37" xfId="0" applyFont="1" applyBorder="1" applyAlignment="1">
      <alignment horizontal="center" vertical="center" textRotation="90" wrapText="1"/>
    </xf>
    <xf numFmtId="0" fontId="8" fillId="0" borderId="78" xfId="0" applyFont="1" applyBorder="1" applyAlignment="1">
      <alignment horizontal="center" vertical="center" textRotation="90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19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3" fillId="0" borderId="8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 textRotation="90" wrapText="1"/>
    </xf>
    <xf numFmtId="0" fontId="15" fillId="0" borderId="71" xfId="0" applyFont="1" applyBorder="1" applyAlignment="1">
      <alignment horizontal="right" vertical="top" wrapText="1"/>
    </xf>
    <xf numFmtId="0" fontId="1" fillId="0" borderId="3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textRotation="90" wrapText="1"/>
    </xf>
    <xf numFmtId="0" fontId="8" fillId="0" borderId="20" xfId="0" applyFont="1" applyBorder="1" applyAlignment="1">
      <alignment horizontal="center" vertical="center" textRotation="90" wrapText="1"/>
    </xf>
    <xf numFmtId="0" fontId="8" fillId="0" borderId="76" xfId="0" applyFont="1" applyBorder="1" applyAlignment="1">
      <alignment horizontal="center" vertical="center" textRotation="90" wrapText="1"/>
    </xf>
    <xf numFmtId="0" fontId="3" fillId="0" borderId="42" xfId="0" applyNumberFormat="1" applyFont="1" applyBorder="1" applyAlignment="1">
      <alignment horizontal="center" vertical="center" textRotation="90" wrapText="1"/>
    </xf>
    <xf numFmtId="0" fontId="3" fillId="0" borderId="46" xfId="0" applyNumberFormat="1" applyFont="1" applyBorder="1" applyAlignment="1">
      <alignment horizontal="center" vertical="center" textRotation="90" wrapText="1"/>
    </xf>
    <xf numFmtId="0" fontId="3" fillId="0" borderId="53" xfId="0" applyNumberFormat="1" applyFont="1" applyBorder="1" applyAlignment="1">
      <alignment horizontal="center" vertical="center" textRotation="90" wrapText="1"/>
    </xf>
    <xf numFmtId="0" fontId="8" fillId="0" borderId="64" xfId="0" applyFont="1" applyBorder="1" applyAlignment="1">
      <alignment horizontal="center" vertical="center" textRotation="90" wrapText="1"/>
    </xf>
    <xf numFmtId="0" fontId="8" fillId="0" borderId="55" xfId="0" applyFont="1" applyBorder="1" applyAlignment="1">
      <alignment horizontal="center" vertical="center" textRotation="90" wrapText="1"/>
    </xf>
    <xf numFmtId="0" fontId="8" fillId="0" borderId="65" xfId="0" applyFont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11" xfId="0" applyFont="1" applyBorder="1" applyAlignment="1">
      <alignment horizontal="center" vertical="center" textRotation="90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50" xfId="0" applyFont="1" applyBorder="1" applyAlignment="1">
      <alignment horizontal="center" vertical="center" textRotation="90" wrapText="1"/>
    </xf>
    <xf numFmtId="0" fontId="8" fillId="0" borderId="44" xfId="0" applyFont="1" applyFill="1" applyBorder="1" applyAlignment="1">
      <alignment horizontal="center" vertical="center" textRotation="90" wrapText="1"/>
    </xf>
    <xf numFmtId="0" fontId="8" fillId="0" borderId="4" xfId="0" applyFont="1" applyFill="1" applyBorder="1" applyAlignment="1">
      <alignment horizontal="center" vertical="center" textRotation="90" wrapText="1"/>
    </xf>
    <xf numFmtId="0" fontId="8" fillId="0" borderId="74" xfId="0" applyFont="1" applyBorder="1" applyAlignment="1">
      <alignment horizontal="center" vertical="center" textRotation="90" wrapText="1"/>
    </xf>
    <xf numFmtId="0" fontId="8" fillId="0" borderId="51" xfId="0" applyFont="1" applyBorder="1" applyAlignment="1">
      <alignment horizontal="center" vertical="center" textRotation="90" wrapText="1"/>
    </xf>
    <xf numFmtId="0" fontId="8" fillId="0" borderId="73" xfId="0" applyFont="1" applyFill="1" applyBorder="1" applyAlignment="1">
      <alignment horizontal="center" vertical="center" textRotation="90" wrapText="1"/>
    </xf>
    <xf numFmtId="0" fontId="8" fillId="0" borderId="53" xfId="0" applyFont="1" applyFill="1" applyBorder="1" applyAlignment="1">
      <alignment horizontal="center" vertical="center" textRotation="90" wrapText="1"/>
    </xf>
    <xf numFmtId="49" fontId="6" fillId="3" borderId="37" xfId="0" applyNumberFormat="1" applyFont="1" applyFill="1" applyBorder="1" applyAlignment="1">
      <alignment horizontal="center" vertical="top"/>
    </xf>
    <xf numFmtId="49" fontId="1" fillId="0" borderId="82" xfId="0" applyNumberFormat="1" applyFont="1" applyBorder="1" applyAlignment="1">
      <alignment horizontal="center" vertical="top"/>
    </xf>
    <xf numFmtId="49" fontId="1" fillId="0" borderId="27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49" fontId="16" fillId="0" borderId="31" xfId="0" applyNumberFormat="1" applyFont="1" applyFill="1" applyBorder="1" applyAlignment="1">
      <alignment horizontal="center" vertical="top"/>
    </xf>
    <xf numFmtId="49" fontId="16" fillId="0" borderId="32" xfId="0" applyNumberFormat="1" applyFont="1" applyFill="1" applyBorder="1" applyAlignment="1">
      <alignment horizontal="center" vertical="top"/>
    </xf>
    <xf numFmtId="49" fontId="6" fillId="2" borderId="28" xfId="0" applyNumberFormat="1" applyFont="1" applyFill="1" applyBorder="1" applyAlignment="1">
      <alignment horizontal="center" vertical="top"/>
    </xf>
    <xf numFmtId="49" fontId="6" fillId="2" borderId="19" xfId="0" applyNumberFormat="1" applyFont="1" applyFill="1" applyBorder="1" applyAlignment="1">
      <alignment horizontal="center" vertical="top"/>
    </xf>
    <xf numFmtId="49" fontId="6" fillId="0" borderId="33" xfId="0" applyNumberFormat="1" applyFont="1" applyFill="1" applyBorder="1" applyAlignment="1">
      <alignment horizontal="center" vertical="top"/>
    </xf>
    <xf numFmtId="49" fontId="6" fillId="0" borderId="36" xfId="0" applyNumberFormat="1" applyFont="1" applyFill="1" applyBorder="1" applyAlignment="1">
      <alignment horizontal="center" vertical="top"/>
    </xf>
    <xf numFmtId="49" fontId="6" fillId="0" borderId="19" xfId="0" applyNumberFormat="1" applyFont="1" applyFill="1" applyBorder="1" applyAlignment="1">
      <alignment horizontal="center" vertical="top"/>
    </xf>
    <xf numFmtId="49" fontId="5" fillId="0" borderId="80" xfId="0" applyNumberFormat="1" applyFont="1" applyFill="1" applyBorder="1" applyAlignment="1">
      <alignment horizontal="center" vertical="top"/>
    </xf>
    <xf numFmtId="49" fontId="5" fillId="0" borderId="69" xfId="0" applyNumberFormat="1" applyFont="1" applyFill="1" applyBorder="1" applyAlignment="1">
      <alignment horizontal="center" vertical="top"/>
    </xf>
    <xf numFmtId="49" fontId="5" fillId="0" borderId="30" xfId="0" applyNumberFormat="1" applyFont="1" applyFill="1" applyBorder="1" applyAlignment="1">
      <alignment horizontal="center" vertical="top"/>
    </xf>
    <xf numFmtId="49" fontId="5" fillId="0" borderId="28" xfId="0" applyNumberFormat="1" applyFont="1" applyFill="1" applyBorder="1" applyAlignment="1">
      <alignment horizontal="center" vertical="top"/>
    </xf>
    <xf numFmtId="49" fontId="30" fillId="6" borderId="57" xfId="0" applyNumberFormat="1" applyFont="1" applyFill="1" applyBorder="1" applyAlignment="1">
      <alignment horizontal="left" vertical="top" wrapText="1"/>
    </xf>
    <xf numFmtId="49" fontId="30" fillId="6" borderId="34" xfId="0" applyNumberFormat="1" applyFont="1" applyFill="1" applyBorder="1" applyAlignment="1">
      <alignment horizontal="left" vertical="top" wrapText="1"/>
    </xf>
    <xf numFmtId="49" fontId="30" fillId="6" borderId="8" xfId="0" applyNumberFormat="1" applyFont="1" applyFill="1" applyBorder="1" applyAlignment="1">
      <alignment horizontal="left" vertical="top" wrapText="1"/>
    </xf>
    <xf numFmtId="49" fontId="15" fillId="3" borderId="36" xfId="0" applyNumberFormat="1" applyFont="1" applyFill="1" applyBorder="1" applyAlignment="1">
      <alignment horizontal="left" vertical="top"/>
    </xf>
    <xf numFmtId="49" fontId="15" fillId="3" borderId="38" xfId="0" applyNumberFormat="1" applyFont="1" applyFill="1" applyBorder="1" applyAlignment="1">
      <alignment horizontal="left" vertical="top"/>
    </xf>
    <xf numFmtId="49" fontId="15" fillId="3" borderId="9" xfId="0" applyNumberFormat="1" applyFont="1" applyFill="1" applyBorder="1" applyAlignment="1">
      <alignment horizontal="left" vertical="top"/>
    </xf>
    <xf numFmtId="0" fontId="30" fillId="5" borderId="16" xfId="0" applyFont="1" applyFill="1" applyBorder="1" applyAlignment="1">
      <alignment horizontal="left" vertical="top" wrapText="1"/>
    </xf>
    <xf numFmtId="0" fontId="30" fillId="5" borderId="21" xfId="0" applyFont="1" applyFill="1" applyBorder="1" applyAlignment="1">
      <alignment horizontal="left" vertical="top" wrapText="1"/>
    </xf>
    <xf numFmtId="0" fontId="30" fillId="5" borderId="10" xfId="0" applyFont="1" applyFill="1" applyBorder="1" applyAlignment="1">
      <alignment horizontal="left" vertical="top" wrapText="1"/>
    </xf>
    <xf numFmtId="49" fontId="15" fillId="2" borderId="83" xfId="0" applyNumberFormat="1" applyFont="1" applyFill="1" applyBorder="1" applyAlignment="1">
      <alignment horizontal="left" vertical="top"/>
    </xf>
    <xf numFmtId="49" fontId="15" fillId="2" borderId="67" xfId="0" applyNumberFormat="1" applyFont="1" applyFill="1" applyBorder="1" applyAlignment="1">
      <alignment horizontal="left" vertical="top"/>
    </xf>
    <xf numFmtId="49" fontId="15" fillId="2" borderId="68" xfId="0" applyNumberFormat="1" applyFont="1" applyFill="1" applyBorder="1" applyAlignment="1">
      <alignment horizontal="left" vertical="top"/>
    </xf>
    <xf numFmtId="49" fontId="11" fillId="0" borderId="41" xfId="0" applyNumberFormat="1" applyFont="1" applyFill="1" applyBorder="1" applyAlignment="1">
      <alignment horizontal="center" vertical="top"/>
    </xf>
    <xf numFmtId="49" fontId="11" fillId="0" borderId="2" xfId="0" applyNumberFormat="1" applyFont="1" applyFill="1" applyBorder="1" applyAlignment="1">
      <alignment horizontal="center" vertical="top"/>
    </xf>
    <xf numFmtId="49" fontId="11" fillId="0" borderId="28" xfId="0" applyNumberFormat="1" applyFont="1" applyFill="1" applyBorder="1" applyAlignment="1">
      <alignment horizontal="center" vertical="top"/>
    </xf>
    <xf numFmtId="49" fontId="11" fillId="0" borderId="23" xfId="0" applyNumberFormat="1" applyFont="1" applyFill="1" applyBorder="1" applyAlignment="1">
      <alignment horizontal="center" vertical="top"/>
    </xf>
    <xf numFmtId="49" fontId="11" fillId="0" borderId="3" xfId="0" applyNumberFormat="1" applyFont="1" applyFill="1" applyBorder="1" applyAlignment="1">
      <alignment horizontal="center" vertical="top"/>
    </xf>
    <xf numFmtId="49" fontId="5" fillId="0" borderId="25" xfId="0" applyNumberFormat="1" applyFont="1" applyFill="1" applyBorder="1" applyAlignment="1">
      <alignment horizontal="center" vertical="top"/>
    </xf>
    <xf numFmtId="0" fontId="14" fillId="0" borderId="45" xfId="0" applyFont="1" applyBorder="1" applyAlignment="1">
      <alignment horizontal="center" vertical="center" textRotation="90"/>
    </xf>
    <xf numFmtId="0" fontId="14" fillId="0" borderId="69" xfId="0" applyFont="1" applyBorder="1" applyAlignment="1">
      <alignment horizontal="center" vertical="center" textRotation="90"/>
    </xf>
    <xf numFmtId="164" fontId="7" fillId="0" borderId="80" xfId="0" applyNumberFormat="1" applyFont="1" applyFill="1" applyBorder="1" applyAlignment="1">
      <alignment horizontal="center" vertical="top"/>
    </xf>
    <xf numFmtId="164" fontId="7" fillId="0" borderId="45" xfId="0" applyNumberFormat="1" applyFont="1" applyFill="1" applyBorder="1" applyAlignment="1">
      <alignment horizontal="center" vertical="top"/>
    </xf>
    <xf numFmtId="164" fontId="7" fillId="0" borderId="69" xfId="0" applyNumberFormat="1" applyFont="1" applyFill="1" applyBorder="1" applyAlignment="1">
      <alignment horizontal="center" vertical="top"/>
    </xf>
    <xf numFmtId="49" fontId="16" fillId="0" borderId="31" xfId="0" applyNumberFormat="1" applyFont="1" applyBorder="1" applyAlignment="1">
      <alignment horizontal="center" vertical="top"/>
    </xf>
    <xf numFmtId="49" fontId="16" fillId="0" borderId="77" xfId="0" applyNumberFormat="1" applyFont="1" applyBorder="1" applyAlignment="1">
      <alignment horizontal="center" vertical="top"/>
    </xf>
    <xf numFmtId="0" fontId="3" fillId="4" borderId="42" xfId="0" applyFont="1" applyFill="1" applyBorder="1" applyAlignment="1">
      <alignment horizontal="left" vertical="top" wrapText="1"/>
    </xf>
    <xf numFmtId="0" fontId="3" fillId="4" borderId="46" xfId="0" applyFont="1" applyFill="1" applyBorder="1" applyAlignment="1">
      <alignment horizontal="left" vertical="top" wrapText="1"/>
    </xf>
    <xf numFmtId="0" fontId="3" fillId="4" borderId="53" xfId="0" applyFont="1" applyFill="1" applyBorder="1" applyAlignment="1">
      <alignment horizontal="left" vertical="top" wrapText="1"/>
    </xf>
    <xf numFmtId="49" fontId="6" fillId="2" borderId="83" xfId="0" applyNumberFormat="1" applyFont="1" applyFill="1" applyBorder="1" applyAlignment="1">
      <alignment horizontal="right" vertical="top"/>
    </xf>
    <xf numFmtId="49" fontId="7" fillId="0" borderId="30" xfId="0" applyNumberFormat="1" applyFont="1" applyBorder="1" applyAlignment="1">
      <alignment horizontal="center" vertical="top" wrapText="1"/>
    </xf>
    <xf numFmtId="49" fontId="7" fillId="0" borderId="25" xfId="0" applyNumberFormat="1" applyFont="1" applyBorder="1" applyAlignment="1">
      <alignment horizontal="center" vertical="top" wrapText="1"/>
    </xf>
    <xf numFmtId="49" fontId="16" fillId="4" borderId="82" xfId="0" applyNumberFormat="1" applyFont="1" applyFill="1" applyBorder="1" applyAlignment="1">
      <alignment horizontal="left" vertical="top" wrapText="1"/>
    </xf>
    <xf numFmtId="49" fontId="16" fillId="4" borderId="27" xfId="0" applyNumberFormat="1" applyFont="1" applyFill="1" applyBorder="1" applyAlignment="1">
      <alignment horizontal="left" vertical="top" wrapText="1"/>
    </xf>
    <xf numFmtId="49" fontId="16" fillId="4" borderId="4" xfId="0" applyNumberFormat="1" applyFont="1" applyFill="1" applyBorder="1" applyAlignment="1">
      <alignment horizontal="left" vertical="top" wrapText="1"/>
    </xf>
    <xf numFmtId="49" fontId="3" fillId="0" borderId="42" xfId="0" applyNumberFormat="1" applyFont="1" applyFill="1" applyBorder="1" applyAlignment="1">
      <alignment horizontal="center" vertical="top"/>
    </xf>
    <xf numFmtId="49" fontId="3" fillId="0" borderId="46" xfId="0" applyNumberFormat="1" applyFont="1" applyFill="1" applyBorder="1" applyAlignment="1">
      <alignment horizontal="center" vertical="top"/>
    </xf>
    <xf numFmtId="49" fontId="3" fillId="0" borderId="53" xfId="0" applyNumberFormat="1" applyFont="1" applyFill="1" applyBorder="1" applyAlignment="1">
      <alignment horizontal="center" vertical="top"/>
    </xf>
    <xf numFmtId="49" fontId="5" fillId="0" borderId="80" xfId="0" applyNumberFormat="1" applyFont="1" applyFill="1" applyBorder="1" applyAlignment="1">
      <alignment horizontal="center" vertical="center" textRotation="90"/>
    </xf>
    <xf numFmtId="49" fontId="5" fillId="0" borderId="45" xfId="0" applyNumberFormat="1" applyFont="1" applyFill="1" applyBorder="1" applyAlignment="1">
      <alignment horizontal="center" vertical="center" textRotation="90"/>
    </xf>
    <xf numFmtId="49" fontId="5" fillId="0" borderId="69" xfId="0" applyNumberFormat="1" applyFont="1" applyFill="1" applyBorder="1" applyAlignment="1">
      <alignment horizontal="center" vertical="center" textRotation="90"/>
    </xf>
    <xf numFmtId="49" fontId="8" fillId="0" borderId="41" xfId="0" applyNumberFormat="1" applyFont="1" applyBorder="1" applyAlignment="1">
      <alignment horizontal="center" vertical="top"/>
    </xf>
    <xf numFmtId="49" fontId="8" fillId="0" borderId="2" xfId="0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center" vertical="top"/>
    </xf>
    <xf numFmtId="49" fontId="16" fillId="0" borderId="82" xfId="0" applyNumberFormat="1" applyFont="1" applyFill="1" applyBorder="1" applyAlignment="1">
      <alignment horizontal="left" vertical="top" wrapText="1"/>
    </xf>
    <xf numFmtId="49" fontId="16" fillId="0" borderId="27" xfId="0" applyNumberFormat="1" applyFont="1" applyFill="1" applyBorder="1" applyAlignment="1">
      <alignment horizontal="left" vertical="top" wrapText="1"/>
    </xf>
    <xf numFmtId="49" fontId="16" fillId="0" borderId="4" xfId="0" applyNumberFormat="1" applyFont="1" applyFill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0" fontId="34" fillId="0" borderId="21" xfId="0" applyFont="1" applyBorder="1" applyAlignment="1">
      <alignment horizontal="left" vertical="top" wrapText="1"/>
    </xf>
    <xf numFmtId="0" fontId="34" fillId="0" borderId="10" xfId="0" applyFont="1" applyBorder="1" applyAlignment="1">
      <alignment horizontal="left" vertical="top" wrapText="1"/>
    </xf>
    <xf numFmtId="49" fontId="7" fillId="0" borderId="30" xfId="0" applyNumberFormat="1" applyFont="1" applyFill="1" applyBorder="1" applyAlignment="1">
      <alignment horizontal="center" vertical="top"/>
    </xf>
    <xf numFmtId="0" fontId="15" fillId="0" borderId="82" xfId="0" applyFont="1" applyFill="1" applyBorder="1" applyAlignment="1">
      <alignment horizontal="left" vertical="top" wrapText="1"/>
    </xf>
    <xf numFmtId="0" fontId="7" fillId="0" borderId="64" xfId="0" applyFont="1" applyFill="1" applyBorder="1" applyAlignment="1">
      <alignment horizontal="center" vertical="center" textRotation="90" wrapText="1"/>
    </xf>
    <xf numFmtId="0" fontId="7" fillId="0" borderId="55" xfId="0" applyFont="1" applyFill="1" applyBorder="1" applyAlignment="1">
      <alignment horizontal="center" vertical="center" textRotation="90" wrapText="1"/>
    </xf>
    <xf numFmtId="0" fontId="7" fillId="0" borderId="65" xfId="0" applyFont="1" applyFill="1" applyBorder="1" applyAlignment="1">
      <alignment horizontal="center" vertical="center" textRotation="90" wrapText="1"/>
    </xf>
    <xf numFmtId="0" fontId="5" fillId="0" borderId="80" xfId="0" applyFont="1" applyFill="1" applyBorder="1" applyAlignment="1">
      <alignment horizontal="center" vertical="top"/>
    </xf>
    <xf numFmtId="0" fontId="5" fillId="0" borderId="45" xfId="0" applyFont="1" applyFill="1" applyBorder="1" applyAlignment="1">
      <alignment horizontal="center" vertical="top"/>
    </xf>
    <xf numFmtId="0" fontId="5" fillId="0" borderId="69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center" vertical="center" textRotation="90" wrapText="1"/>
    </xf>
    <xf numFmtId="0" fontId="5" fillId="0" borderId="45" xfId="0" applyFont="1" applyFill="1" applyBorder="1" applyAlignment="1">
      <alignment horizontal="center" vertical="center" textRotation="90" wrapText="1"/>
    </xf>
    <xf numFmtId="0" fontId="14" fillId="0" borderId="69" xfId="0" applyFont="1" applyBorder="1" applyAlignment="1">
      <alignment horizontal="center" vertical="center" textRotation="90" wrapText="1"/>
    </xf>
    <xf numFmtId="164" fontId="5" fillId="0" borderId="80" xfId="0" applyNumberFormat="1" applyFont="1" applyFill="1" applyBorder="1" applyAlignment="1">
      <alignment horizontal="center" vertical="top"/>
    </xf>
    <xf numFmtId="164" fontId="5" fillId="0" borderId="45" xfId="0" applyNumberFormat="1" applyFont="1" applyFill="1" applyBorder="1" applyAlignment="1">
      <alignment horizontal="center" vertical="top"/>
    </xf>
    <xf numFmtId="164" fontId="5" fillId="0" borderId="69" xfId="0" applyNumberFormat="1" applyFont="1" applyFill="1" applyBorder="1" applyAlignment="1">
      <alignment horizontal="center" vertical="top"/>
    </xf>
    <xf numFmtId="164" fontId="7" fillId="0" borderId="80" xfId="0" applyNumberFormat="1" applyFont="1" applyFill="1" applyBorder="1" applyAlignment="1">
      <alignment horizontal="center" vertical="top" wrapText="1"/>
    </xf>
    <xf numFmtId="164" fontId="7" fillId="0" borderId="45" xfId="0" applyNumberFormat="1" applyFont="1" applyFill="1" applyBorder="1" applyAlignment="1">
      <alignment horizontal="center" vertical="top" wrapText="1"/>
    </xf>
    <xf numFmtId="164" fontId="7" fillId="0" borderId="69" xfId="0" applyNumberFormat="1" applyFont="1" applyFill="1" applyBorder="1" applyAlignment="1">
      <alignment horizontal="center" vertical="top" wrapText="1"/>
    </xf>
    <xf numFmtId="49" fontId="15" fillId="2" borderId="83" xfId="0" applyNumberFormat="1" applyFont="1" applyFill="1" applyBorder="1" applyAlignment="1">
      <alignment horizontal="left" vertical="top" wrapText="1"/>
    </xf>
    <xf numFmtId="49" fontId="15" fillId="2" borderId="67" xfId="0" applyNumberFormat="1" applyFont="1" applyFill="1" applyBorder="1" applyAlignment="1">
      <alignment horizontal="left" vertical="top" wrapText="1"/>
    </xf>
    <xf numFmtId="49" fontId="15" fillId="2" borderId="68" xfId="0" applyNumberFormat="1" applyFont="1" applyFill="1" applyBorder="1" applyAlignment="1">
      <alignment horizontal="left" vertical="top" wrapText="1"/>
    </xf>
    <xf numFmtId="49" fontId="1" fillId="0" borderId="27" xfId="0" applyNumberFormat="1" applyFont="1" applyFill="1" applyBorder="1" applyAlignment="1">
      <alignment horizontal="center" vertical="top"/>
    </xf>
    <xf numFmtId="49" fontId="1" fillId="0" borderId="4" xfId="0" applyNumberFormat="1" applyFont="1" applyFill="1" applyBorder="1" applyAlignment="1">
      <alignment horizontal="center" vertical="top"/>
    </xf>
    <xf numFmtId="0" fontId="45" fillId="4" borderId="82" xfId="0" applyFont="1" applyFill="1" applyBorder="1" applyAlignment="1">
      <alignment horizontal="left" vertical="top" wrapText="1"/>
    </xf>
    <xf numFmtId="0" fontId="45" fillId="4" borderId="27" xfId="0" applyFont="1" applyFill="1" applyBorder="1" applyAlignment="1">
      <alignment horizontal="left" vertical="top" wrapText="1"/>
    </xf>
    <xf numFmtId="0" fontId="45" fillId="4" borderId="4" xfId="0" applyFont="1" applyFill="1" applyBorder="1" applyAlignment="1">
      <alignment horizontal="left" vertical="top" wrapText="1"/>
    </xf>
    <xf numFmtId="0" fontId="5" fillId="0" borderId="80" xfId="0" applyFont="1" applyFill="1" applyBorder="1" applyAlignment="1">
      <alignment horizontal="center" vertical="center" textRotation="90" wrapText="1"/>
    </xf>
    <xf numFmtId="0" fontId="5" fillId="0" borderId="69" xfId="0" applyFont="1" applyFill="1" applyBorder="1" applyAlignment="1">
      <alignment horizontal="center" vertical="center" textRotation="90" wrapText="1"/>
    </xf>
    <xf numFmtId="49" fontId="7" fillId="0" borderId="2" xfId="0" applyNumberFormat="1" applyFont="1" applyFill="1" applyBorder="1" applyAlignment="1">
      <alignment horizontal="center" vertical="top" wrapText="1"/>
    </xf>
    <xf numFmtId="49" fontId="7" fillId="0" borderId="25" xfId="0" applyNumberFormat="1" applyFont="1" applyFill="1" applyBorder="1" applyAlignment="1">
      <alignment horizontal="center" vertical="top" wrapText="1"/>
    </xf>
    <xf numFmtId="0" fontId="2" fillId="0" borderId="6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49" fontId="6" fillId="2" borderId="33" xfId="0" applyNumberFormat="1" applyFont="1" applyFill="1" applyBorder="1" applyAlignment="1">
      <alignment horizontal="right" vertical="top"/>
    </xf>
    <xf numFmtId="49" fontId="6" fillId="2" borderId="34" xfId="0" applyNumberFormat="1" applyFont="1" applyFill="1" applyBorder="1" applyAlignment="1">
      <alignment horizontal="right" vertical="top"/>
    </xf>
    <xf numFmtId="49" fontId="6" fillId="2" borderId="8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>
      <alignment horizontal="right" vertical="top"/>
    </xf>
    <xf numFmtId="49" fontId="1" fillId="3" borderId="20" xfId="0" applyNumberFormat="1" applyFont="1" applyFill="1" applyBorder="1" applyAlignment="1">
      <alignment horizontal="right" vertical="top"/>
    </xf>
    <xf numFmtId="0" fontId="17" fillId="0" borderId="0" xfId="0" applyFont="1" applyFill="1" applyAlignment="1">
      <alignment horizontal="center" wrapText="1"/>
    </xf>
    <xf numFmtId="0" fontId="2" fillId="4" borderId="80" xfId="0" applyFont="1" applyFill="1" applyBorder="1" applyAlignment="1">
      <alignment horizontal="center" vertical="center" wrapText="1"/>
    </xf>
    <xf numFmtId="0" fontId="2" fillId="4" borderId="45" xfId="0" applyFont="1" applyFill="1" applyBorder="1" applyAlignment="1">
      <alignment horizontal="center" vertical="center" wrapText="1"/>
    </xf>
    <xf numFmtId="0" fontId="2" fillId="4" borderId="69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69" xfId="0" applyFont="1" applyBorder="1" applyAlignment="1">
      <alignment horizontal="center" vertical="center" wrapText="1"/>
    </xf>
    <xf numFmtId="0" fontId="25" fillId="0" borderId="19" xfId="1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25" fillId="0" borderId="22" xfId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37" fillId="0" borderId="23" xfId="1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5" fillId="0" borderId="23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2"/>
  <sheetViews>
    <sheetView tabSelected="1" zoomScaleNormal="100" zoomScaleSheetLayoutView="100" workbookViewId="0"/>
  </sheetViews>
  <sheetFormatPr defaultRowHeight="12.75"/>
  <cols>
    <col min="1" max="3" width="2.7109375" style="13" customWidth="1"/>
    <col min="4" max="4" width="60.7109375" style="13" customWidth="1"/>
    <col min="5" max="7" width="2.7109375" style="13" customWidth="1"/>
    <col min="8" max="12" width="7.7109375" style="13" customWidth="1"/>
    <col min="13" max="13" width="8" style="35" customWidth="1"/>
    <col min="14" max="16" width="7.7109375" style="35" customWidth="1"/>
    <col min="17" max="22" width="7.7109375" style="13" customWidth="1"/>
    <col min="23" max="23" width="9.140625" style="13"/>
    <col min="24" max="24" width="7.140625" style="13" customWidth="1"/>
    <col min="25" max="16384" width="9.140625" style="13"/>
  </cols>
  <sheetData>
    <row r="1" spans="1:22">
      <c r="V1" s="280" t="s">
        <v>205</v>
      </c>
    </row>
    <row r="2" spans="1:22" ht="27" customHeight="1">
      <c r="A2" s="642" t="s">
        <v>206</v>
      </c>
      <c r="B2" s="643"/>
      <c r="C2" s="643"/>
      <c r="D2" s="643"/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</row>
    <row r="3" spans="1:22" ht="15" customHeight="1">
      <c r="A3" s="643" t="s">
        <v>145</v>
      </c>
      <c r="B3" s="643"/>
      <c r="C3" s="643"/>
      <c r="D3" s="643"/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</row>
    <row r="4" spans="1:22" ht="15" customHeight="1" thickBot="1">
      <c r="A4" s="68"/>
      <c r="B4" s="68"/>
      <c r="C4" s="68"/>
      <c r="D4" s="68"/>
      <c r="E4" s="68"/>
      <c r="F4" s="68"/>
      <c r="G4" s="443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57" t="s">
        <v>35</v>
      </c>
      <c r="V4" s="657"/>
    </row>
    <row r="5" spans="1:22" s="4" customFormat="1" ht="36.75" customHeight="1">
      <c r="A5" s="644" t="s">
        <v>0</v>
      </c>
      <c r="B5" s="647" t="s">
        <v>1</v>
      </c>
      <c r="C5" s="647" t="s">
        <v>2</v>
      </c>
      <c r="D5" s="650" t="s">
        <v>42</v>
      </c>
      <c r="E5" s="665" t="s">
        <v>58</v>
      </c>
      <c r="F5" s="659" t="s">
        <v>207</v>
      </c>
      <c r="G5" s="662" t="s">
        <v>3</v>
      </c>
      <c r="H5" s="669" t="s">
        <v>4</v>
      </c>
      <c r="I5" s="542" t="s">
        <v>218</v>
      </c>
      <c r="J5" s="543"/>
      <c r="K5" s="543"/>
      <c r="L5" s="544"/>
      <c r="M5" s="542" t="s">
        <v>137</v>
      </c>
      <c r="N5" s="543"/>
      <c r="O5" s="543"/>
      <c r="P5" s="544"/>
      <c r="Q5" s="546" t="s">
        <v>92</v>
      </c>
      <c r="R5" s="543"/>
      <c r="S5" s="543"/>
      <c r="T5" s="658"/>
      <c r="U5" s="654" t="s">
        <v>138</v>
      </c>
      <c r="V5" s="654" t="s">
        <v>139</v>
      </c>
    </row>
    <row r="6" spans="1:22" s="4" customFormat="1" ht="15" customHeight="1">
      <c r="A6" s="645"/>
      <c r="B6" s="648"/>
      <c r="C6" s="648"/>
      <c r="D6" s="651"/>
      <c r="E6" s="666"/>
      <c r="F6" s="660"/>
      <c r="G6" s="663"/>
      <c r="H6" s="670"/>
      <c r="I6" s="668" t="s">
        <v>5</v>
      </c>
      <c r="J6" s="653" t="s">
        <v>6</v>
      </c>
      <c r="K6" s="653"/>
      <c r="L6" s="676" t="s">
        <v>93</v>
      </c>
      <c r="M6" s="668" t="s">
        <v>5</v>
      </c>
      <c r="N6" s="653" t="s">
        <v>6</v>
      </c>
      <c r="O6" s="653"/>
      <c r="P6" s="676" t="s">
        <v>93</v>
      </c>
      <c r="Q6" s="674" t="s">
        <v>5</v>
      </c>
      <c r="R6" s="653" t="s">
        <v>6</v>
      </c>
      <c r="S6" s="653"/>
      <c r="T6" s="672" t="s">
        <v>93</v>
      </c>
      <c r="U6" s="655"/>
      <c r="V6" s="655"/>
    </row>
    <row r="7" spans="1:22" s="4" customFormat="1" ht="88.5" customHeight="1" thickBot="1">
      <c r="A7" s="646"/>
      <c r="B7" s="649"/>
      <c r="C7" s="649"/>
      <c r="D7" s="652"/>
      <c r="E7" s="667"/>
      <c r="F7" s="661"/>
      <c r="G7" s="664"/>
      <c r="H7" s="671"/>
      <c r="I7" s="667"/>
      <c r="J7" s="69" t="s">
        <v>5</v>
      </c>
      <c r="K7" s="70" t="s">
        <v>94</v>
      </c>
      <c r="L7" s="677"/>
      <c r="M7" s="667"/>
      <c r="N7" s="69" t="s">
        <v>5</v>
      </c>
      <c r="O7" s="70" t="s">
        <v>94</v>
      </c>
      <c r="P7" s="677"/>
      <c r="Q7" s="675"/>
      <c r="R7" s="69" t="s">
        <v>5</v>
      </c>
      <c r="S7" s="70" t="s">
        <v>94</v>
      </c>
      <c r="T7" s="673"/>
      <c r="U7" s="656"/>
      <c r="V7" s="656"/>
    </row>
    <row r="8" spans="1:22" ht="15.75" customHeight="1">
      <c r="A8" s="693" t="s">
        <v>45</v>
      </c>
      <c r="B8" s="694"/>
      <c r="C8" s="694"/>
      <c r="D8" s="694"/>
      <c r="E8" s="694"/>
      <c r="F8" s="694"/>
      <c r="G8" s="694"/>
      <c r="H8" s="694"/>
      <c r="I8" s="694"/>
      <c r="J8" s="694"/>
      <c r="K8" s="694"/>
      <c r="L8" s="694"/>
      <c r="M8" s="694"/>
      <c r="N8" s="694"/>
      <c r="O8" s="694"/>
      <c r="P8" s="694"/>
      <c r="Q8" s="694"/>
      <c r="R8" s="694"/>
      <c r="S8" s="694"/>
      <c r="T8" s="694"/>
      <c r="U8" s="694"/>
      <c r="V8" s="695"/>
    </row>
    <row r="9" spans="1:22" ht="15.75" customHeight="1">
      <c r="A9" s="699" t="s">
        <v>52</v>
      </c>
      <c r="B9" s="700"/>
      <c r="C9" s="700"/>
      <c r="D9" s="700"/>
      <c r="E9" s="700"/>
      <c r="F9" s="700"/>
      <c r="G9" s="700"/>
      <c r="H9" s="700"/>
      <c r="I9" s="700"/>
      <c r="J9" s="700"/>
      <c r="K9" s="700"/>
      <c r="L9" s="700"/>
      <c r="M9" s="700"/>
      <c r="N9" s="700"/>
      <c r="O9" s="700"/>
      <c r="P9" s="700"/>
      <c r="Q9" s="700"/>
      <c r="R9" s="700"/>
      <c r="S9" s="700"/>
      <c r="T9" s="700"/>
      <c r="U9" s="700"/>
      <c r="V9" s="701"/>
    </row>
    <row r="10" spans="1:22" ht="15.75" customHeight="1" thickBot="1">
      <c r="A10" s="21" t="s">
        <v>7</v>
      </c>
      <c r="B10" s="696" t="s">
        <v>125</v>
      </c>
      <c r="C10" s="697"/>
      <c r="D10" s="697"/>
      <c r="E10" s="697"/>
      <c r="F10" s="697"/>
      <c r="G10" s="697"/>
      <c r="H10" s="697"/>
      <c r="I10" s="697"/>
      <c r="J10" s="697"/>
      <c r="K10" s="697"/>
      <c r="L10" s="697"/>
      <c r="M10" s="697"/>
      <c r="N10" s="697"/>
      <c r="O10" s="697"/>
      <c r="P10" s="697"/>
      <c r="Q10" s="697"/>
      <c r="R10" s="697"/>
      <c r="S10" s="697"/>
      <c r="T10" s="697"/>
      <c r="U10" s="697"/>
      <c r="V10" s="698"/>
    </row>
    <row r="11" spans="1:22" ht="15.75" customHeight="1" thickBot="1">
      <c r="A11" s="19" t="s">
        <v>7</v>
      </c>
      <c r="B11" s="1" t="s">
        <v>7</v>
      </c>
      <c r="C11" s="702" t="s">
        <v>126</v>
      </c>
      <c r="D11" s="703"/>
      <c r="E11" s="703"/>
      <c r="F11" s="703"/>
      <c r="G11" s="703"/>
      <c r="H11" s="703"/>
      <c r="I11" s="703"/>
      <c r="J11" s="703"/>
      <c r="K11" s="703"/>
      <c r="L11" s="703"/>
      <c r="M11" s="703"/>
      <c r="N11" s="703"/>
      <c r="O11" s="703"/>
      <c r="P11" s="703"/>
      <c r="Q11" s="703"/>
      <c r="R11" s="703"/>
      <c r="S11" s="703"/>
      <c r="T11" s="703"/>
      <c r="U11" s="703"/>
      <c r="V11" s="704"/>
    </row>
    <row r="12" spans="1:22" ht="15.75" customHeight="1">
      <c r="A12" s="476" t="s">
        <v>7</v>
      </c>
      <c r="B12" s="611" t="s">
        <v>7</v>
      </c>
      <c r="C12" s="686" t="s">
        <v>7</v>
      </c>
      <c r="D12" s="212" t="s">
        <v>127</v>
      </c>
      <c r="E12" s="689"/>
      <c r="F12" s="691" t="s">
        <v>15</v>
      </c>
      <c r="G12" s="682" t="s">
        <v>115</v>
      </c>
      <c r="H12" s="23" t="s">
        <v>10</v>
      </c>
      <c r="I12" s="102">
        <f>J12+L12</f>
        <v>632</v>
      </c>
      <c r="J12" s="103">
        <v>632</v>
      </c>
      <c r="K12" s="103"/>
      <c r="L12" s="104"/>
      <c r="M12" s="102">
        <f>N12+P12</f>
        <v>918.59999999999991</v>
      </c>
      <c r="N12" s="103">
        <f>350+38.7+89.7+440.2</f>
        <v>918.59999999999991</v>
      </c>
      <c r="O12" s="103"/>
      <c r="P12" s="104"/>
      <c r="Q12" s="433">
        <f>R12+T12</f>
        <v>589.69999999999993</v>
      </c>
      <c r="R12" s="434">
        <f>190+18+89.7+217.8+11+45-53.2+1.3</f>
        <v>519.59999999999991</v>
      </c>
      <c r="S12" s="434"/>
      <c r="T12" s="437">
        <f>18.2+53.2-1.3</f>
        <v>70.100000000000009</v>
      </c>
      <c r="U12" s="105">
        <v>1080.5</v>
      </c>
      <c r="V12" s="106">
        <v>747.6</v>
      </c>
    </row>
    <row r="13" spans="1:22" ht="15.75" customHeight="1">
      <c r="A13" s="623"/>
      <c r="B13" s="684"/>
      <c r="C13" s="687"/>
      <c r="D13" s="210" t="s">
        <v>181</v>
      </c>
      <c r="E13" s="635"/>
      <c r="F13" s="692"/>
      <c r="G13" s="616"/>
      <c r="H13" s="72"/>
      <c r="I13" s="107">
        <f>J13+L13</f>
        <v>0</v>
      </c>
      <c r="J13" s="108"/>
      <c r="K13" s="108"/>
      <c r="L13" s="109"/>
      <c r="M13" s="107">
        <f>N13+P13</f>
        <v>0</v>
      </c>
      <c r="N13" s="108"/>
      <c r="O13" s="108"/>
      <c r="P13" s="109"/>
      <c r="Q13" s="301">
        <f>R13+T13</f>
        <v>0</v>
      </c>
      <c r="R13" s="348"/>
      <c r="S13" s="348"/>
      <c r="T13" s="349"/>
      <c r="U13" s="213"/>
      <c r="V13" s="138"/>
    </row>
    <row r="14" spans="1:22" ht="15.75" customHeight="1">
      <c r="A14" s="623"/>
      <c r="B14" s="684"/>
      <c r="C14" s="687"/>
      <c r="D14" s="210" t="s">
        <v>182</v>
      </c>
      <c r="E14" s="635"/>
      <c r="F14" s="692"/>
      <c r="G14" s="616"/>
      <c r="H14" s="30"/>
      <c r="I14" s="189"/>
      <c r="J14" s="190"/>
      <c r="K14" s="190"/>
      <c r="L14" s="192"/>
      <c r="M14" s="189"/>
      <c r="N14" s="190"/>
      <c r="O14" s="190"/>
      <c r="P14" s="192"/>
      <c r="Q14" s="305"/>
      <c r="R14" s="380"/>
      <c r="S14" s="380"/>
      <c r="T14" s="382"/>
      <c r="U14" s="110"/>
      <c r="V14" s="111"/>
    </row>
    <row r="15" spans="1:22" ht="15.75" customHeight="1">
      <c r="A15" s="623"/>
      <c r="B15" s="684"/>
      <c r="C15" s="687"/>
      <c r="D15" s="435" t="s">
        <v>183</v>
      </c>
      <c r="E15" s="635"/>
      <c r="F15" s="692"/>
      <c r="G15" s="616"/>
      <c r="H15" s="30"/>
      <c r="I15" s="189"/>
      <c r="J15" s="190"/>
      <c r="K15" s="190"/>
      <c r="L15" s="192"/>
      <c r="M15" s="189"/>
      <c r="N15" s="190"/>
      <c r="O15" s="190"/>
      <c r="P15" s="192"/>
      <c r="Q15" s="305"/>
      <c r="R15" s="380"/>
      <c r="S15" s="380"/>
      <c r="T15" s="382"/>
      <c r="U15" s="110"/>
      <c r="V15" s="111"/>
    </row>
    <row r="16" spans="1:22" ht="15.75" customHeight="1">
      <c r="A16" s="623"/>
      <c r="B16" s="684"/>
      <c r="C16" s="687"/>
      <c r="D16" s="435" t="s">
        <v>111</v>
      </c>
      <c r="E16" s="635"/>
      <c r="F16" s="692"/>
      <c r="G16" s="616"/>
      <c r="H16" s="29"/>
      <c r="I16" s="142"/>
      <c r="J16" s="136"/>
      <c r="K16" s="136"/>
      <c r="L16" s="137"/>
      <c r="M16" s="142"/>
      <c r="N16" s="136"/>
      <c r="O16" s="136"/>
      <c r="P16" s="137"/>
      <c r="Q16" s="309"/>
      <c r="R16" s="302"/>
      <c r="S16" s="302"/>
      <c r="T16" s="350"/>
      <c r="U16" s="214"/>
      <c r="V16" s="139"/>
    </row>
    <row r="17" spans="1:22" ht="15.75" customHeight="1" thickBot="1">
      <c r="A17" s="678"/>
      <c r="B17" s="685"/>
      <c r="C17" s="688"/>
      <c r="D17" s="211"/>
      <c r="E17" s="690"/>
      <c r="F17" s="692"/>
      <c r="G17" s="683"/>
      <c r="H17" s="287" t="s">
        <v>19</v>
      </c>
      <c r="I17" s="288">
        <f t="shared" ref="I17:V17" si="0">SUM(I12:I16)</f>
        <v>632</v>
      </c>
      <c r="J17" s="289">
        <f t="shared" si="0"/>
        <v>632</v>
      </c>
      <c r="K17" s="289">
        <f t="shared" si="0"/>
        <v>0</v>
      </c>
      <c r="L17" s="290">
        <f t="shared" si="0"/>
        <v>0</v>
      </c>
      <c r="M17" s="288">
        <f t="shared" si="0"/>
        <v>918.59999999999991</v>
      </c>
      <c r="N17" s="289">
        <f t="shared" si="0"/>
        <v>918.59999999999991</v>
      </c>
      <c r="O17" s="289">
        <f t="shared" si="0"/>
        <v>0</v>
      </c>
      <c r="P17" s="290">
        <f t="shared" si="0"/>
        <v>0</v>
      </c>
      <c r="Q17" s="288">
        <f t="shared" si="0"/>
        <v>589.69999999999993</v>
      </c>
      <c r="R17" s="289">
        <f t="shared" si="0"/>
        <v>519.59999999999991</v>
      </c>
      <c r="S17" s="289">
        <f t="shared" si="0"/>
        <v>0</v>
      </c>
      <c r="T17" s="290">
        <f t="shared" si="0"/>
        <v>70.100000000000009</v>
      </c>
      <c r="U17" s="291">
        <f t="shared" si="0"/>
        <v>1080.5</v>
      </c>
      <c r="V17" s="291">
        <f t="shared" si="0"/>
        <v>747.6</v>
      </c>
    </row>
    <row r="18" spans="1:22" ht="15.75" customHeight="1">
      <c r="A18" s="534" t="s">
        <v>7</v>
      </c>
      <c r="B18" s="504" t="s">
        <v>7</v>
      </c>
      <c r="C18" s="679" t="s">
        <v>8</v>
      </c>
      <c r="D18" s="212" t="s">
        <v>128</v>
      </c>
      <c r="E18" s="385" t="s">
        <v>102</v>
      </c>
      <c r="F18" s="510" t="s">
        <v>12</v>
      </c>
      <c r="G18" s="501" t="s">
        <v>115</v>
      </c>
      <c r="H18" s="26" t="s">
        <v>10</v>
      </c>
      <c r="I18" s="102">
        <f>J18+L18</f>
        <v>6964.6</v>
      </c>
      <c r="J18" s="112">
        <v>6964.6</v>
      </c>
      <c r="K18" s="112"/>
      <c r="L18" s="113"/>
      <c r="M18" s="102">
        <f>N18+P18</f>
        <v>9819.5</v>
      </c>
      <c r="N18" s="114">
        <f>9392.5+246+181</f>
        <v>9819.5</v>
      </c>
      <c r="O18" s="115"/>
      <c r="P18" s="116"/>
      <c r="Q18" s="433">
        <f>R18+T18</f>
        <v>6387.7</v>
      </c>
      <c r="R18" s="434">
        <f>6121.3+266.4</f>
        <v>6387.7</v>
      </c>
      <c r="S18" s="299"/>
      <c r="T18" s="300"/>
      <c r="U18" s="117">
        <v>7027</v>
      </c>
      <c r="V18" s="118">
        <v>7027</v>
      </c>
    </row>
    <row r="19" spans="1:22" ht="39" customHeight="1">
      <c r="A19" s="535"/>
      <c r="B19" s="505"/>
      <c r="C19" s="680"/>
      <c r="D19" s="435" t="s">
        <v>185</v>
      </c>
      <c r="E19" s="386" t="s">
        <v>177</v>
      </c>
      <c r="F19" s="511"/>
      <c r="G19" s="502"/>
      <c r="H19" s="24" t="s">
        <v>116</v>
      </c>
      <c r="I19" s="107">
        <f>J19+L19</f>
        <v>3</v>
      </c>
      <c r="J19" s="136">
        <v>3</v>
      </c>
      <c r="K19" s="143"/>
      <c r="L19" s="144"/>
      <c r="M19" s="107">
        <f>N19+P19</f>
        <v>2.5</v>
      </c>
      <c r="N19" s="143">
        <v>2.5</v>
      </c>
      <c r="O19" s="143"/>
      <c r="P19" s="145"/>
      <c r="Q19" s="301">
        <f>R19+T19</f>
        <v>2.5</v>
      </c>
      <c r="R19" s="302">
        <v>2.5</v>
      </c>
      <c r="S19" s="303"/>
      <c r="T19" s="304"/>
      <c r="U19" s="181">
        <v>2</v>
      </c>
      <c r="V19" s="222">
        <v>2</v>
      </c>
    </row>
    <row r="20" spans="1:22" ht="15.75" customHeight="1">
      <c r="A20" s="535"/>
      <c r="B20" s="505"/>
      <c r="C20" s="680"/>
      <c r="D20" s="210" t="s">
        <v>186</v>
      </c>
      <c r="E20" s="387" t="s">
        <v>100</v>
      </c>
      <c r="F20" s="511"/>
      <c r="G20" s="502"/>
      <c r="H20" s="72" t="s">
        <v>53</v>
      </c>
      <c r="I20" s="107"/>
      <c r="J20" s="403"/>
      <c r="K20" s="159"/>
      <c r="L20" s="160"/>
      <c r="M20" s="107"/>
      <c r="N20" s="159"/>
      <c r="O20" s="159"/>
      <c r="P20" s="161"/>
      <c r="Q20" s="470">
        <f>R20+T20</f>
        <v>105</v>
      </c>
      <c r="R20" s="471">
        <f>155-50</f>
        <v>105</v>
      </c>
      <c r="S20" s="331"/>
      <c r="T20" s="332"/>
      <c r="U20" s="404"/>
      <c r="V20" s="196"/>
    </row>
    <row r="21" spans="1:22" ht="27" customHeight="1">
      <c r="A21" s="535"/>
      <c r="B21" s="505"/>
      <c r="C21" s="680"/>
      <c r="D21" s="210" t="s">
        <v>187</v>
      </c>
      <c r="E21" s="387"/>
      <c r="F21" s="511"/>
      <c r="G21" s="502"/>
      <c r="H21" s="30"/>
      <c r="I21" s="189"/>
      <c r="J21" s="215"/>
      <c r="K21" s="216"/>
      <c r="L21" s="217"/>
      <c r="M21" s="189"/>
      <c r="N21" s="216"/>
      <c r="O21" s="216"/>
      <c r="P21" s="218"/>
      <c r="Q21" s="305"/>
      <c r="R21" s="306"/>
      <c r="S21" s="307"/>
      <c r="T21" s="308"/>
      <c r="U21" s="219"/>
      <c r="V21" s="220"/>
    </row>
    <row r="22" spans="1:22" ht="27" customHeight="1">
      <c r="A22" s="535"/>
      <c r="B22" s="505"/>
      <c r="C22" s="680"/>
      <c r="D22" s="210" t="s">
        <v>129</v>
      </c>
      <c r="E22" s="388"/>
      <c r="F22" s="511"/>
      <c r="G22" s="502"/>
      <c r="H22" s="30"/>
      <c r="I22" s="142"/>
      <c r="J22" s="119"/>
      <c r="K22" s="120"/>
      <c r="L22" s="121"/>
      <c r="M22" s="142"/>
      <c r="N22" s="120"/>
      <c r="O22" s="120"/>
      <c r="P22" s="122"/>
      <c r="Q22" s="309"/>
      <c r="R22" s="310"/>
      <c r="S22" s="311"/>
      <c r="T22" s="312"/>
      <c r="U22" s="123"/>
      <c r="V22" s="124"/>
    </row>
    <row r="23" spans="1:22" ht="15.75" customHeight="1" thickBot="1">
      <c r="A23" s="536"/>
      <c r="B23" s="506"/>
      <c r="C23" s="681"/>
      <c r="D23" s="221"/>
      <c r="E23" s="389"/>
      <c r="F23" s="512"/>
      <c r="G23" s="503"/>
      <c r="H23" s="292" t="s">
        <v>19</v>
      </c>
      <c r="I23" s="288">
        <f t="shared" ref="I23:V23" si="1">SUM(I18:I22)</f>
        <v>6967.6</v>
      </c>
      <c r="J23" s="289">
        <f t="shared" si="1"/>
        <v>6967.6</v>
      </c>
      <c r="K23" s="289">
        <f t="shared" si="1"/>
        <v>0</v>
      </c>
      <c r="L23" s="290">
        <f t="shared" si="1"/>
        <v>0</v>
      </c>
      <c r="M23" s="288">
        <f t="shared" si="1"/>
        <v>9822</v>
      </c>
      <c r="N23" s="289">
        <f t="shared" si="1"/>
        <v>9822</v>
      </c>
      <c r="O23" s="289">
        <f t="shared" si="1"/>
        <v>0</v>
      </c>
      <c r="P23" s="290">
        <f t="shared" si="1"/>
        <v>0</v>
      </c>
      <c r="Q23" s="288">
        <f t="shared" si="1"/>
        <v>6495.2</v>
      </c>
      <c r="R23" s="289">
        <f>SUM(R18:R22)</f>
        <v>6495.2</v>
      </c>
      <c r="S23" s="289">
        <f t="shared" si="1"/>
        <v>0</v>
      </c>
      <c r="T23" s="290">
        <f t="shared" si="1"/>
        <v>0</v>
      </c>
      <c r="U23" s="291">
        <f t="shared" si="1"/>
        <v>7029</v>
      </c>
      <c r="V23" s="291">
        <f t="shared" si="1"/>
        <v>7029</v>
      </c>
    </row>
    <row r="24" spans="1:22" ht="15.75" customHeight="1">
      <c r="A24" s="623" t="s">
        <v>7</v>
      </c>
      <c r="B24" s="684" t="s">
        <v>7</v>
      </c>
      <c r="C24" s="517" t="s">
        <v>9</v>
      </c>
      <c r="D24" s="231" t="s">
        <v>130</v>
      </c>
      <c r="E24" s="711"/>
      <c r="F24" s="705" t="s">
        <v>12</v>
      </c>
      <c r="G24" s="616" t="s">
        <v>115</v>
      </c>
      <c r="H24" s="228" t="s">
        <v>10</v>
      </c>
      <c r="I24" s="102">
        <f>J24+L24</f>
        <v>1540.5</v>
      </c>
      <c r="J24" s="112">
        <v>1540.5</v>
      </c>
      <c r="K24" s="112">
        <v>807.9</v>
      </c>
      <c r="L24" s="113"/>
      <c r="M24" s="102">
        <f>N24+P24</f>
        <v>1873.1999999999998</v>
      </c>
      <c r="N24" s="112">
        <f>674.4+25.3+1173.5</f>
        <v>1873.1999999999998</v>
      </c>
      <c r="O24" s="103">
        <f>0+5.4+801.4</f>
        <v>806.8</v>
      </c>
      <c r="P24" s="125"/>
      <c r="Q24" s="298">
        <f>R24+T24</f>
        <v>1448.1000000000001</v>
      </c>
      <c r="R24" s="299">
        <f>325.3+23.6+1091.2+8</f>
        <v>1448.1000000000001</v>
      </c>
      <c r="S24" s="436">
        <f>761.4+6.1+5.1</f>
        <v>772.6</v>
      </c>
      <c r="T24" s="300"/>
      <c r="U24" s="126">
        <f>674.4+25.3+1173.5</f>
        <v>1873.1999999999998</v>
      </c>
      <c r="V24" s="126">
        <f>674.4+25.3+1173.5</f>
        <v>1873.1999999999998</v>
      </c>
    </row>
    <row r="25" spans="1:22" ht="15.75" customHeight="1">
      <c r="A25" s="474"/>
      <c r="B25" s="482"/>
      <c r="C25" s="518"/>
      <c r="D25" s="232" t="s">
        <v>184</v>
      </c>
      <c r="E25" s="711"/>
      <c r="F25" s="706"/>
      <c r="G25" s="496"/>
      <c r="H25" s="229" t="s">
        <v>116</v>
      </c>
      <c r="I25" s="107">
        <f>J25+L25</f>
        <v>57.400000000000006</v>
      </c>
      <c r="J25" s="108">
        <f>9+16.2</f>
        <v>25.2</v>
      </c>
      <c r="K25" s="108">
        <v>6.9</v>
      </c>
      <c r="L25" s="109">
        <v>32.200000000000003</v>
      </c>
      <c r="M25" s="127">
        <f>N25+P25</f>
        <v>57.4</v>
      </c>
      <c r="N25" s="128">
        <f>0+9+16.1</f>
        <v>25.1</v>
      </c>
      <c r="O25" s="128">
        <f>0+6.9+0</f>
        <v>6.9</v>
      </c>
      <c r="P25" s="129">
        <f>0+0+32.3</f>
        <v>32.299999999999997</v>
      </c>
      <c r="Q25" s="472">
        <f>R25+T25</f>
        <v>57.4</v>
      </c>
      <c r="R25" s="438">
        <f>0+9+16.1+32.3</f>
        <v>57.4</v>
      </c>
      <c r="S25" s="438">
        <v>6.9</v>
      </c>
      <c r="T25" s="439">
        <f>0+0+32.3-32.3</f>
        <v>0</v>
      </c>
      <c r="U25" s="131">
        <f>0+9+48.4</f>
        <v>57.4</v>
      </c>
      <c r="V25" s="131">
        <f>0+9+48.4</f>
        <v>57.4</v>
      </c>
    </row>
    <row r="26" spans="1:22" ht="15.75" customHeight="1">
      <c r="A26" s="474"/>
      <c r="B26" s="482"/>
      <c r="C26" s="518"/>
      <c r="D26" s="232" t="s">
        <v>188</v>
      </c>
      <c r="E26" s="711"/>
      <c r="F26" s="706"/>
      <c r="G26" s="496"/>
      <c r="H26" s="229"/>
      <c r="I26" s="107">
        <f>J26+L26</f>
        <v>0</v>
      </c>
      <c r="J26" s="108"/>
      <c r="K26" s="108"/>
      <c r="L26" s="109"/>
      <c r="M26" s="127">
        <f>N26+P26</f>
        <v>0</v>
      </c>
      <c r="N26" s="128"/>
      <c r="O26" s="128"/>
      <c r="P26" s="129"/>
      <c r="Q26" s="313">
        <f>R26+T26</f>
        <v>0</v>
      </c>
      <c r="R26" s="314"/>
      <c r="S26" s="315"/>
      <c r="T26" s="316"/>
      <c r="U26" s="130"/>
      <c r="V26" s="131"/>
    </row>
    <row r="27" spans="1:22" ht="15.75" customHeight="1">
      <c r="A27" s="474"/>
      <c r="B27" s="482"/>
      <c r="C27" s="518"/>
      <c r="D27" s="232" t="s">
        <v>189</v>
      </c>
      <c r="E27" s="711"/>
      <c r="F27" s="707"/>
      <c r="G27" s="496"/>
      <c r="H27" s="36"/>
      <c r="I27" s="189"/>
      <c r="J27" s="190"/>
      <c r="K27" s="190"/>
      <c r="L27" s="192"/>
      <c r="M27" s="230"/>
      <c r="N27" s="223"/>
      <c r="O27" s="223"/>
      <c r="P27" s="191"/>
      <c r="Q27" s="317"/>
      <c r="R27" s="318"/>
      <c r="S27" s="318"/>
      <c r="T27" s="319"/>
      <c r="U27" s="224"/>
      <c r="V27" s="225"/>
    </row>
    <row r="28" spans="1:22" ht="15.75" customHeight="1">
      <c r="A28" s="474"/>
      <c r="B28" s="482"/>
      <c r="C28" s="518"/>
      <c r="D28" s="640" t="s">
        <v>190</v>
      </c>
      <c r="E28" s="711"/>
      <c r="F28" s="708" t="s">
        <v>9</v>
      </c>
      <c r="G28" s="496"/>
      <c r="H28" s="36"/>
      <c r="I28" s="142"/>
      <c r="J28" s="136"/>
      <c r="K28" s="136"/>
      <c r="L28" s="137"/>
      <c r="M28" s="209"/>
      <c r="N28" s="168"/>
      <c r="O28" s="168"/>
      <c r="P28" s="151"/>
      <c r="Q28" s="320"/>
      <c r="R28" s="321"/>
      <c r="S28" s="321"/>
      <c r="T28" s="322"/>
      <c r="U28" s="226"/>
      <c r="V28" s="227"/>
    </row>
    <row r="29" spans="1:22" ht="15.75" customHeight="1" thickBot="1">
      <c r="A29" s="477"/>
      <c r="B29" s="612"/>
      <c r="C29" s="519"/>
      <c r="D29" s="641"/>
      <c r="E29" s="712"/>
      <c r="F29" s="709"/>
      <c r="G29" s="516"/>
      <c r="H29" s="293" t="s">
        <v>19</v>
      </c>
      <c r="I29" s="288">
        <f t="shared" ref="I29:V29" si="2">SUM(I24:I28)</f>
        <v>1597.9</v>
      </c>
      <c r="J29" s="289">
        <f t="shared" si="2"/>
        <v>1565.7</v>
      </c>
      <c r="K29" s="289">
        <f t="shared" si="2"/>
        <v>814.8</v>
      </c>
      <c r="L29" s="290">
        <f t="shared" si="2"/>
        <v>32.200000000000003</v>
      </c>
      <c r="M29" s="288">
        <f t="shared" si="2"/>
        <v>1930.6</v>
      </c>
      <c r="N29" s="289">
        <f t="shared" si="2"/>
        <v>1898.2999999999997</v>
      </c>
      <c r="O29" s="289">
        <f t="shared" si="2"/>
        <v>813.69999999999993</v>
      </c>
      <c r="P29" s="290">
        <f t="shared" si="2"/>
        <v>32.299999999999997</v>
      </c>
      <c r="Q29" s="288">
        <f t="shared" si="2"/>
        <v>1505.5000000000002</v>
      </c>
      <c r="R29" s="289">
        <f t="shared" si="2"/>
        <v>1505.5000000000002</v>
      </c>
      <c r="S29" s="289">
        <f t="shared" si="2"/>
        <v>779.5</v>
      </c>
      <c r="T29" s="290">
        <f t="shared" si="2"/>
        <v>0</v>
      </c>
      <c r="U29" s="291">
        <f t="shared" si="2"/>
        <v>1930.6</v>
      </c>
      <c r="V29" s="291">
        <f t="shared" si="2"/>
        <v>1930.6</v>
      </c>
    </row>
    <row r="30" spans="1:22" ht="15.75" customHeight="1">
      <c r="A30" s="623" t="s">
        <v>7</v>
      </c>
      <c r="B30" s="684" t="s">
        <v>7</v>
      </c>
      <c r="C30" s="528" t="s">
        <v>11</v>
      </c>
      <c r="D30" s="231" t="s">
        <v>141</v>
      </c>
      <c r="E30" s="390"/>
      <c r="F30" s="705" t="s">
        <v>15</v>
      </c>
      <c r="G30" s="495" t="s">
        <v>115</v>
      </c>
      <c r="H30" s="26" t="s">
        <v>10</v>
      </c>
      <c r="I30" s="102">
        <f>J30+L30</f>
        <v>4909.3</v>
      </c>
      <c r="J30" s="103">
        <v>4909.3</v>
      </c>
      <c r="K30" s="112"/>
      <c r="L30" s="113"/>
      <c r="M30" s="102">
        <f>N30+P30</f>
        <v>6606.2000000000007</v>
      </c>
      <c r="N30" s="112">
        <f>3812.3+2793.9</f>
        <v>6606.2000000000007</v>
      </c>
      <c r="O30" s="112"/>
      <c r="P30" s="125"/>
      <c r="Q30" s="433">
        <f>R30+T30</f>
        <v>5181.8</v>
      </c>
      <c r="R30" s="434">
        <f>2734.3+1957.5+490</f>
        <v>5181.8</v>
      </c>
      <c r="S30" s="299"/>
      <c r="T30" s="300"/>
      <c r="U30" s="126">
        <f>3947.9+2175</f>
        <v>6122.9</v>
      </c>
      <c r="V30" s="126">
        <f>4055.9+2175</f>
        <v>6230.9</v>
      </c>
    </row>
    <row r="31" spans="1:22" ht="15.75" customHeight="1">
      <c r="A31" s="474"/>
      <c r="B31" s="482"/>
      <c r="C31" s="529"/>
      <c r="D31" s="432" t="s">
        <v>191</v>
      </c>
      <c r="E31" s="390"/>
      <c r="F31" s="706"/>
      <c r="G31" s="496"/>
      <c r="H31" s="229"/>
      <c r="I31" s="107">
        <f>J31+L31</f>
        <v>0</v>
      </c>
      <c r="J31" s="132"/>
      <c r="K31" s="132"/>
      <c r="L31" s="133"/>
      <c r="M31" s="107">
        <f>N31+P31</f>
        <v>0</v>
      </c>
      <c r="N31" s="132"/>
      <c r="O31" s="134"/>
      <c r="P31" s="135"/>
      <c r="Q31" s="301">
        <f>R31+T31</f>
        <v>0</v>
      </c>
      <c r="R31" s="324"/>
      <c r="S31" s="324"/>
      <c r="T31" s="325"/>
      <c r="U31" s="131"/>
      <c r="V31" s="131"/>
    </row>
    <row r="32" spans="1:22" ht="27" customHeight="1">
      <c r="A32" s="474"/>
      <c r="B32" s="482"/>
      <c r="C32" s="529"/>
      <c r="D32" s="232" t="s">
        <v>131</v>
      </c>
      <c r="E32" s="390"/>
      <c r="F32" s="706"/>
      <c r="G32" s="496"/>
      <c r="H32" s="229"/>
      <c r="I32" s="107"/>
      <c r="J32" s="132"/>
      <c r="K32" s="132"/>
      <c r="L32" s="133"/>
      <c r="M32" s="107"/>
      <c r="N32" s="132"/>
      <c r="O32" s="134"/>
      <c r="P32" s="135"/>
      <c r="Q32" s="301"/>
      <c r="R32" s="324"/>
      <c r="S32" s="324"/>
      <c r="T32" s="325"/>
      <c r="U32" s="131"/>
      <c r="V32" s="131"/>
    </row>
    <row r="33" spans="1:22" ht="15.75" customHeight="1" thickBot="1">
      <c r="A33" s="477"/>
      <c r="B33" s="612"/>
      <c r="C33" s="530"/>
      <c r="D33" s="233"/>
      <c r="E33" s="391"/>
      <c r="F33" s="709"/>
      <c r="G33" s="497"/>
      <c r="H33" s="294" t="s">
        <v>19</v>
      </c>
      <c r="I33" s="288">
        <f t="shared" ref="I33:V33" si="3">SUM(I30:I31)</f>
        <v>4909.3</v>
      </c>
      <c r="J33" s="289">
        <f t="shared" si="3"/>
        <v>4909.3</v>
      </c>
      <c r="K33" s="289">
        <f t="shared" si="3"/>
        <v>0</v>
      </c>
      <c r="L33" s="290">
        <f t="shared" si="3"/>
        <v>0</v>
      </c>
      <c r="M33" s="288">
        <f t="shared" si="3"/>
        <v>6606.2000000000007</v>
      </c>
      <c r="N33" s="289">
        <f t="shared" si="3"/>
        <v>6606.2000000000007</v>
      </c>
      <c r="O33" s="289">
        <f t="shared" si="3"/>
        <v>0</v>
      </c>
      <c r="P33" s="290">
        <f t="shared" si="3"/>
        <v>0</v>
      </c>
      <c r="Q33" s="288">
        <f t="shared" si="3"/>
        <v>5181.8</v>
      </c>
      <c r="R33" s="289">
        <f t="shared" si="3"/>
        <v>5181.8</v>
      </c>
      <c r="S33" s="289">
        <f t="shared" si="3"/>
        <v>0</v>
      </c>
      <c r="T33" s="290">
        <f t="shared" si="3"/>
        <v>0</v>
      </c>
      <c r="U33" s="291">
        <f t="shared" si="3"/>
        <v>6122.9</v>
      </c>
      <c r="V33" s="295">
        <f t="shared" si="3"/>
        <v>6230.9</v>
      </c>
    </row>
    <row r="34" spans="1:22" ht="15.75" customHeight="1">
      <c r="A34" s="534" t="s">
        <v>7</v>
      </c>
      <c r="B34" s="504" t="s">
        <v>7</v>
      </c>
      <c r="C34" s="517" t="s">
        <v>12</v>
      </c>
      <c r="D34" s="718" t="s">
        <v>112</v>
      </c>
      <c r="E34" s="619" t="s">
        <v>101</v>
      </c>
      <c r="F34" s="631" t="s">
        <v>9</v>
      </c>
      <c r="G34" s="501" t="s">
        <v>43</v>
      </c>
      <c r="H34" s="23" t="s">
        <v>10</v>
      </c>
      <c r="I34" s="102">
        <f>J34+L34</f>
        <v>693.6</v>
      </c>
      <c r="J34" s="112">
        <v>693.6</v>
      </c>
      <c r="K34" s="115"/>
      <c r="L34" s="162"/>
      <c r="M34" s="102">
        <f>N34+P34</f>
        <v>787.7</v>
      </c>
      <c r="N34" s="112">
        <v>787.7</v>
      </c>
      <c r="O34" s="115"/>
      <c r="P34" s="162"/>
      <c r="Q34" s="298">
        <f>R34+T34</f>
        <v>731.2</v>
      </c>
      <c r="R34" s="299">
        <f>624.2-274+381</f>
        <v>731.2</v>
      </c>
      <c r="S34" s="326"/>
      <c r="T34" s="327"/>
      <c r="U34" s="118">
        <v>350.2</v>
      </c>
      <c r="V34" s="118">
        <v>350.2</v>
      </c>
    </row>
    <row r="35" spans="1:22" ht="15.75" customHeight="1">
      <c r="A35" s="535"/>
      <c r="B35" s="505"/>
      <c r="C35" s="518"/>
      <c r="D35" s="719"/>
      <c r="E35" s="620"/>
      <c r="F35" s="632"/>
      <c r="G35" s="502"/>
      <c r="H35" s="30"/>
      <c r="I35" s="107">
        <f>J35+L35</f>
        <v>0</v>
      </c>
      <c r="J35" s="132"/>
      <c r="K35" s="134"/>
      <c r="L35" s="163"/>
      <c r="M35" s="107">
        <f>N35+P35</f>
        <v>0</v>
      </c>
      <c r="N35" s="132"/>
      <c r="O35" s="134"/>
      <c r="P35" s="163"/>
      <c r="Q35" s="301">
        <f>R35+T35</f>
        <v>0</v>
      </c>
      <c r="R35" s="324"/>
      <c r="S35" s="328"/>
      <c r="T35" s="329"/>
      <c r="U35" s="164"/>
      <c r="V35" s="164"/>
    </row>
    <row r="36" spans="1:22" ht="15.75" customHeight="1" thickBot="1">
      <c r="A36" s="536"/>
      <c r="B36" s="506"/>
      <c r="C36" s="519"/>
      <c r="D36" s="720"/>
      <c r="E36" s="621"/>
      <c r="F36" s="633"/>
      <c r="G36" s="503"/>
      <c r="H36" s="296" t="s">
        <v>19</v>
      </c>
      <c r="I36" s="288">
        <f t="shared" ref="I36:V36" si="4">SUM(I34:I35)</f>
        <v>693.6</v>
      </c>
      <c r="J36" s="289">
        <f t="shared" si="4"/>
        <v>693.6</v>
      </c>
      <c r="K36" s="289">
        <f t="shared" si="4"/>
        <v>0</v>
      </c>
      <c r="L36" s="290">
        <f t="shared" si="4"/>
        <v>0</v>
      </c>
      <c r="M36" s="288">
        <f t="shared" si="4"/>
        <v>787.7</v>
      </c>
      <c r="N36" s="289">
        <f t="shared" si="4"/>
        <v>787.7</v>
      </c>
      <c r="O36" s="289">
        <f t="shared" si="4"/>
        <v>0</v>
      </c>
      <c r="P36" s="290">
        <f t="shared" si="4"/>
        <v>0</v>
      </c>
      <c r="Q36" s="288">
        <f t="shared" si="4"/>
        <v>731.2</v>
      </c>
      <c r="R36" s="289">
        <f t="shared" si="4"/>
        <v>731.2</v>
      </c>
      <c r="S36" s="289">
        <f t="shared" si="4"/>
        <v>0</v>
      </c>
      <c r="T36" s="290">
        <f t="shared" si="4"/>
        <v>0</v>
      </c>
      <c r="U36" s="291">
        <f t="shared" si="4"/>
        <v>350.2</v>
      </c>
      <c r="V36" s="295">
        <f t="shared" si="4"/>
        <v>350.2</v>
      </c>
    </row>
    <row r="37" spans="1:22" ht="15.75" customHeight="1">
      <c r="A37" s="624" t="s">
        <v>7</v>
      </c>
      <c r="B37" s="629" t="s">
        <v>7</v>
      </c>
      <c r="C37" s="617" t="s">
        <v>13</v>
      </c>
      <c r="D37" s="637" t="s">
        <v>120</v>
      </c>
      <c r="E37" s="392" t="s">
        <v>21</v>
      </c>
      <c r="F37" s="722" t="s">
        <v>13</v>
      </c>
      <c r="G37" s="716" t="s">
        <v>115</v>
      </c>
      <c r="H37" s="26" t="s">
        <v>10</v>
      </c>
      <c r="I37" s="102">
        <f>J37+L37</f>
        <v>250</v>
      </c>
      <c r="J37" s="112"/>
      <c r="K37" s="112"/>
      <c r="L37" s="113">
        <v>250</v>
      </c>
      <c r="M37" s="102">
        <f>N37+P37</f>
        <v>2323.9</v>
      </c>
      <c r="N37" s="103"/>
      <c r="O37" s="103"/>
      <c r="P37" s="155">
        <v>2323.9</v>
      </c>
      <c r="Q37" s="298">
        <f>R37+T37</f>
        <v>0</v>
      </c>
      <c r="R37" s="299"/>
      <c r="S37" s="299"/>
      <c r="T37" s="300"/>
      <c r="U37" s="196">
        <v>1441.8</v>
      </c>
      <c r="V37" s="196">
        <v>1236.7</v>
      </c>
    </row>
    <row r="38" spans="1:22" ht="15.75" customHeight="1">
      <c r="A38" s="535"/>
      <c r="B38" s="505"/>
      <c r="C38" s="518"/>
      <c r="D38" s="638"/>
      <c r="E38" s="393" t="s">
        <v>99</v>
      </c>
      <c r="F38" s="632"/>
      <c r="G38" s="502"/>
      <c r="H38" s="27"/>
      <c r="I38" s="127">
        <f>J38+L38</f>
        <v>0</v>
      </c>
      <c r="J38" s="195"/>
      <c r="K38" s="159"/>
      <c r="L38" s="160"/>
      <c r="M38" s="127">
        <f>N38+P38</f>
        <v>0</v>
      </c>
      <c r="N38" s="195"/>
      <c r="O38" s="159"/>
      <c r="P38" s="161"/>
      <c r="Q38" s="313">
        <f>R38+T38</f>
        <v>0</v>
      </c>
      <c r="R38" s="330"/>
      <c r="S38" s="331"/>
      <c r="T38" s="332"/>
      <c r="U38" s="196"/>
      <c r="V38" s="196"/>
    </row>
    <row r="39" spans="1:22" ht="15.75" customHeight="1" thickBot="1">
      <c r="A39" s="625"/>
      <c r="B39" s="630"/>
      <c r="C39" s="618"/>
      <c r="D39" s="639"/>
      <c r="E39" s="394"/>
      <c r="F39" s="723"/>
      <c r="G39" s="717"/>
      <c r="H39" s="297" t="s">
        <v>19</v>
      </c>
      <c r="I39" s="288">
        <f t="shared" ref="I39:V39" si="5">SUM(I37:I38)</f>
        <v>250</v>
      </c>
      <c r="J39" s="289">
        <f t="shared" si="5"/>
        <v>0</v>
      </c>
      <c r="K39" s="289">
        <f t="shared" si="5"/>
        <v>0</v>
      </c>
      <c r="L39" s="290">
        <f t="shared" si="5"/>
        <v>250</v>
      </c>
      <c r="M39" s="288">
        <f t="shared" si="5"/>
        <v>2323.9</v>
      </c>
      <c r="N39" s="289">
        <f t="shared" si="5"/>
        <v>0</v>
      </c>
      <c r="O39" s="289">
        <f t="shared" si="5"/>
        <v>0</v>
      </c>
      <c r="P39" s="290">
        <f t="shared" si="5"/>
        <v>2323.9</v>
      </c>
      <c r="Q39" s="288">
        <f t="shared" si="5"/>
        <v>0</v>
      </c>
      <c r="R39" s="289">
        <f t="shared" si="5"/>
        <v>0</v>
      </c>
      <c r="S39" s="289">
        <f t="shared" si="5"/>
        <v>0</v>
      </c>
      <c r="T39" s="290">
        <f t="shared" si="5"/>
        <v>0</v>
      </c>
      <c r="U39" s="291">
        <f t="shared" si="5"/>
        <v>1441.8</v>
      </c>
      <c r="V39" s="295">
        <f t="shared" si="5"/>
        <v>1236.7</v>
      </c>
    </row>
    <row r="40" spans="1:22" s="398" customFormat="1" ht="18.75" customHeight="1">
      <c r="A40" s="476" t="s">
        <v>7</v>
      </c>
      <c r="B40" s="611" t="s">
        <v>7</v>
      </c>
      <c r="C40" s="528" t="s">
        <v>14</v>
      </c>
      <c r="D40" s="626" t="s">
        <v>223</v>
      </c>
      <c r="E40" s="634"/>
      <c r="F40" s="691" t="s">
        <v>12</v>
      </c>
      <c r="G40" s="441" t="s">
        <v>60</v>
      </c>
      <c r="H40" s="26" t="s">
        <v>10</v>
      </c>
      <c r="I40" s="102">
        <f>J40+L40</f>
        <v>0</v>
      </c>
      <c r="J40" s="103"/>
      <c r="K40" s="103"/>
      <c r="L40" s="104"/>
      <c r="M40" s="102">
        <f>N40+P40</f>
        <v>10.3</v>
      </c>
      <c r="N40" s="103">
        <v>10.3</v>
      </c>
      <c r="O40" s="148"/>
      <c r="P40" s="155"/>
      <c r="Q40" s="298">
        <f>R40+T40</f>
        <v>10.3</v>
      </c>
      <c r="R40" s="323">
        <f>10.3</f>
        <v>10.3</v>
      </c>
      <c r="S40" s="446"/>
      <c r="T40" s="447"/>
      <c r="U40" s="149">
        <v>5.9</v>
      </c>
      <c r="V40" s="106"/>
    </row>
    <row r="41" spans="1:22" s="398" customFormat="1" ht="18.75" customHeight="1">
      <c r="A41" s="474"/>
      <c r="B41" s="482"/>
      <c r="C41" s="529"/>
      <c r="D41" s="627"/>
      <c r="E41" s="635"/>
      <c r="F41" s="493"/>
      <c r="G41" s="450" t="s">
        <v>224</v>
      </c>
      <c r="H41" s="29" t="s">
        <v>10</v>
      </c>
      <c r="I41" s="142"/>
      <c r="J41" s="136"/>
      <c r="K41" s="136"/>
      <c r="L41" s="137"/>
      <c r="M41" s="142"/>
      <c r="N41" s="136"/>
      <c r="O41" s="150"/>
      <c r="P41" s="157"/>
      <c r="Q41" s="444">
        <f>R41+T41</f>
        <v>86.7</v>
      </c>
      <c r="R41" s="445">
        <v>83.2</v>
      </c>
      <c r="S41" s="448">
        <v>4.7</v>
      </c>
      <c r="T41" s="399">
        <v>3.5</v>
      </c>
      <c r="U41" s="151"/>
      <c r="V41" s="139"/>
    </row>
    <row r="42" spans="1:22" s="398" customFormat="1" ht="18.75" customHeight="1">
      <c r="A42" s="474"/>
      <c r="B42" s="482"/>
      <c r="C42" s="529"/>
      <c r="D42" s="627"/>
      <c r="E42" s="635"/>
      <c r="F42" s="493"/>
      <c r="G42" s="449"/>
      <c r="H42" s="72" t="s">
        <v>48</v>
      </c>
      <c r="I42" s="107">
        <f>J42+L42</f>
        <v>0</v>
      </c>
      <c r="J42" s="108"/>
      <c r="K42" s="108"/>
      <c r="L42" s="109"/>
      <c r="M42" s="107">
        <f>N42+P42</f>
        <v>0</v>
      </c>
      <c r="N42" s="108"/>
      <c r="O42" s="153"/>
      <c r="P42" s="156"/>
      <c r="Q42" s="301">
        <f>R42+T42</f>
        <v>0</v>
      </c>
      <c r="R42" s="348"/>
      <c r="S42" s="348"/>
      <c r="T42" s="349"/>
      <c r="U42" s="129"/>
      <c r="V42" s="138"/>
    </row>
    <row r="43" spans="1:22" s="398" customFormat="1" ht="18.75" customHeight="1">
      <c r="A43" s="474"/>
      <c r="B43" s="482"/>
      <c r="C43" s="529"/>
      <c r="D43" s="627"/>
      <c r="E43" s="635"/>
      <c r="F43" s="493"/>
      <c r="G43" s="449"/>
      <c r="H43" s="72" t="s">
        <v>143</v>
      </c>
      <c r="I43" s="107">
        <f>J43+L43</f>
        <v>0</v>
      </c>
      <c r="J43" s="108"/>
      <c r="K43" s="108"/>
      <c r="L43" s="109"/>
      <c r="M43" s="107">
        <f>N43+P43</f>
        <v>601.5</v>
      </c>
      <c r="N43" s="108"/>
      <c r="O43" s="153"/>
      <c r="P43" s="156">
        <v>601.5</v>
      </c>
      <c r="Q43" s="301">
        <f>R43+T43</f>
        <v>601.5</v>
      </c>
      <c r="R43" s="348"/>
      <c r="S43" s="348"/>
      <c r="T43" s="349">
        <v>601.5</v>
      </c>
      <c r="U43" s="129"/>
      <c r="V43" s="138"/>
    </row>
    <row r="44" spans="1:22" s="398" customFormat="1" ht="18.75" customHeight="1" thickBot="1">
      <c r="A44" s="477"/>
      <c r="B44" s="612"/>
      <c r="C44" s="530"/>
      <c r="D44" s="628"/>
      <c r="E44" s="636"/>
      <c r="F44" s="710"/>
      <c r="G44" s="395"/>
      <c r="H44" s="333" t="s">
        <v>19</v>
      </c>
      <c r="I44" s="334">
        <f>SUM(I40:I43)</f>
        <v>0</v>
      </c>
      <c r="J44" s="289">
        <f t="shared" ref="J44:V44" si="6">SUM(J40:J43)</f>
        <v>0</v>
      </c>
      <c r="K44" s="289">
        <f t="shared" si="6"/>
        <v>0</v>
      </c>
      <c r="L44" s="335">
        <f t="shared" si="6"/>
        <v>0</v>
      </c>
      <c r="M44" s="334">
        <f t="shared" si="6"/>
        <v>611.79999999999995</v>
      </c>
      <c r="N44" s="289">
        <f t="shared" si="6"/>
        <v>10.3</v>
      </c>
      <c r="O44" s="289">
        <f t="shared" si="6"/>
        <v>0</v>
      </c>
      <c r="P44" s="335">
        <f t="shared" si="6"/>
        <v>601.5</v>
      </c>
      <c r="Q44" s="334">
        <f t="shared" si="6"/>
        <v>698.5</v>
      </c>
      <c r="R44" s="289">
        <f t="shared" si="6"/>
        <v>93.5</v>
      </c>
      <c r="S44" s="289">
        <f>SUM(S40:S43)</f>
        <v>4.7</v>
      </c>
      <c r="T44" s="335">
        <f>SUM(T40:T43)</f>
        <v>605</v>
      </c>
      <c r="U44" s="288">
        <f t="shared" si="6"/>
        <v>5.9</v>
      </c>
      <c r="V44" s="295">
        <f t="shared" si="6"/>
        <v>0</v>
      </c>
    </row>
    <row r="45" spans="1:22" s="398" customFormat="1" ht="15.75" customHeight="1">
      <c r="A45" s="476" t="s">
        <v>7</v>
      </c>
      <c r="B45" s="611" t="s">
        <v>7</v>
      </c>
      <c r="C45" s="528" t="s">
        <v>15</v>
      </c>
      <c r="D45" s="724" t="s">
        <v>192</v>
      </c>
      <c r="E45" s="730" t="s">
        <v>136</v>
      </c>
      <c r="F45" s="691" t="s">
        <v>12</v>
      </c>
      <c r="G45" s="441" t="s">
        <v>60</v>
      </c>
      <c r="H45" s="26" t="s">
        <v>10</v>
      </c>
      <c r="I45" s="250">
        <f>J45+L45</f>
        <v>0</v>
      </c>
      <c r="J45" s="103"/>
      <c r="K45" s="103"/>
      <c r="L45" s="104"/>
      <c r="M45" s="102">
        <f>N45+P45</f>
        <v>2.2999999999999998</v>
      </c>
      <c r="N45" s="103">
        <v>2.2999999999999998</v>
      </c>
      <c r="O45" s="148"/>
      <c r="P45" s="152"/>
      <c r="Q45" s="298">
        <f>R45+T45</f>
        <v>5.3</v>
      </c>
      <c r="R45" s="323">
        <v>5.3</v>
      </c>
      <c r="S45" s="323"/>
      <c r="T45" s="347"/>
      <c r="U45" s="149"/>
      <c r="V45" s="106"/>
    </row>
    <row r="46" spans="1:22" s="398" customFormat="1" ht="15.75" customHeight="1">
      <c r="A46" s="474"/>
      <c r="B46" s="482"/>
      <c r="C46" s="529"/>
      <c r="D46" s="725"/>
      <c r="E46" s="731"/>
      <c r="F46" s="493"/>
      <c r="G46" s="442" t="s">
        <v>115</v>
      </c>
      <c r="H46" s="72" t="s">
        <v>10</v>
      </c>
      <c r="I46" s="129">
        <f>J46+L46</f>
        <v>0</v>
      </c>
      <c r="J46" s="136"/>
      <c r="K46" s="136"/>
      <c r="L46" s="137"/>
      <c r="M46" s="142">
        <f>N46+P46</f>
        <v>93.4</v>
      </c>
      <c r="N46" s="136">
        <v>93.4</v>
      </c>
      <c r="O46" s="150"/>
      <c r="P46" s="249"/>
      <c r="Q46" s="301">
        <f>R46+T46</f>
        <v>61.1</v>
      </c>
      <c r="R46" s="302">
        <v>61.1</v>
      </c>
      <c r="S46" s="302"/>
      <c r="T46" s="350"/>
      <c r="U46" s="151"/>
      <c r="V46" s="139"/>
    </row>
    <row r="47" spans="1:22" s="398" customFormat="1" ht="15.75" customHeight="1">
      <c r="A47" s="474"/>
      <c r="B47" s="482"/>
      <c r="C47" s="529"/>
      <c r="D47" s="725"/>
      <c r="E47" s="731"/>
      <c r="F47" s="493"/>
      <c r="G47" s="442" t="s">
        <v>60</v>
      </c>
      <c r="H47" s="72" t="s">
        <v>48</v>
      </c>
      <c r="I47" s="129">
        <f>J47+L47</f>
        <v>0</v>
      </c>
      <c r="J47" s="108"/>
      <c r="K47" s="108"/>
      <c r="L47" s="109"/>
      <c r="M47" s="107">
        <f>N47+P47</f>
        <v>43.7</v>
      </c>
      <c r="N47" s="108">
        <v>43.7</v>
      </c>
      <c r="O47" s="153"/>
      <c r="P47" s="154"/>
      <c r="Q47" s="301">
        <f>R47+T47</f>
        <v>43.7</v>
      </c>
      <c r="R47" s="348">
        <v>43.7</v>
      </c>
      <c r="S47" s="348"/>
      <c r="T47" s="349"/>
      <c r="U47" s="129"/>
      <c r="V47" s="138"/>
    </row>
    <row r="48" spans="1:22" s="398" customFormat="1" ht="15.75" customHeight="1" thickBot="1">
      <c r="A48" s="477"/>
      <c r="B48" s="612"/>
      <c r="C48" s="530"/>
      <c r="D48" s="726"/>
      <c r="E48" s="732"/>
      <c r="F48" s="710"/>
      <c r="G48" s="395"/>
      <c r="H48" s="293" t="s">
        <v>19</v>
      </c>
      <c r="I48" s="336">
        <f t="shared" ref="I48:V48" si="7">SUM(I45:I47)</f>
        <v>0</v>
      </c>
      <c r="J48" s="337">
        <f t="shared" si="7"/>
        <v>0</v>
      </c>
      <c r="K48" s="337">
        <f t="shared" si="7"/>
        <v>0</v>
      </c>
      <c r="L48" s="338">
        <f t="shared" si="7"/>
        <v>0</v>
      </c>
      <c r="M48" s="339">
        <f t="shared" si="7"/>
        <v>139.4</v>
      </c>
      <c r="N48" s="337">
        <f>SUM(N45:N47)</f>
        <v>139.4</v>
      </c>
      <c r="O48" s="337">
        <f t="shared" si="7"/>
        <v>0</v>
      </c>
      <c r="P48" s="338">
        <f t="shared" si="7"/>
        <v>0</v>
      </c>
      <c r="Q48" s="339">
        <f t="shared" si="7"/>
        <v>110.10000000000001</v>
      </c>
      <c r="R48" s="337">
        <f t="shared" si="7"/>
        <v>110.10000000000001</v>
      </c>
      <c r="S48" s="337">
        <f t="shared" si="7"/>
        <v>0</v>
      </c>
      <c r="T48" s="338">
        <f t="shared" si="7"/>
        <v>0</v>
      </c>
      <c r="U48" s="291">
        <f t="shared" si="7"/>
        <v>0</v>
      </c>
      <c r="V48" s="295">
        <f t="shared" si="7"/>
        <v>0</v>
      </c>
    </row>
    <row r="49" spans="1:22" s="398" customFormat="1" ht="15.75" customHeight="1">
      <c r="A49" s="476" t="s">
        <v>7</v>
      </c>
      <c r="B49" s="611" t="s">
        <v>7</v>
      </c>
      <c r="C49" s="528" t="s">
        <v>132</v>
      </c>
      <c r="D49" s="736" t="s">
        <v>140</v>
      </c>
      <c r="E49" s="730"/>
      <c r="F49" s="691" t="s">
        <v>13</v>
      </c>
      <c r="G49" s="682"/>
      <c r="H49" s="260" t="s">
        <v>10</v>
      </c>
      <c r="I49" s="102">
        <f>J49+L49</f>
        <v>0</v>
      </c>
      <c r="J49" s="103"/>
      <c r="K49" s="103"/>
      <c r="L49" s="104"/>
      <c r="M49" s="250">
        <f>N49+P49</f>
        <v>15</v>
      </c>
      <c r="N49" s="103">
        <v>15</v>
      </c>
      <c r="O49" s="148"/>
      <c r="P49" s="256"/>
      <c r="Q49" s="351">
        <f>R49+T49</f>
        <v>0</v>
      </c>
      <c r="R49" s="323"/>
      <c r="S49" s="323"/>
      <c r="T49" s="347"/>
      <c r="U49" s="149"/>
      <c r="V49" s="106"/>
    </row>
    <row r="50" spans="1:22" s="398" customFormat="1" ht="15.75" customHeight="1">
      <c r="A50" s="474"/>
      <c r="B50" s="482"/>
      <c r="C50" s="529"/>
      <c r="D50" s="737"/>
      <c r="E50" s="731"/>
      <c r="F50" s="493"/>
      <c r="G50" s="496"/>
      <c r="H50" s="261"/>
      <c r="I50" s="127">
        <f>J50+L50</f>
        <v>0</v>
      </c>
      <c r="J50" s="108"/>
      <c r="K50" s="108"/>
      <c r="L50" s="109"/>
      <c r="M50" s="128">
        <f>N50+P50</f>
        <v>0</v>
      </c>
      <c r="N50" s="108"/>
      <c r="O50" s="153"/>
      <c r="P50" s="257"/>
      <c r="Q50" s="314">
        <f>R50+T50</f>
        <v>0</v>
      </c>
      <c r="R50" s="348"/>
      <c r="S50" s="348"/>
      <c r="T50" s="349"/>
      <c r="U50" s="129"/>
      <c r="V50" s="138"/>
    </row>
    <row r="51" spans="1:22" s="398" customFormat="1" ht="15.75" customHeight="1" thickBot="1">
      <c r="A51" s="477"/>
      <c r="B51" s="612"/>
      <c r="C51" s="530"/>
      <c r="D51" s="738"/>
      <c r="E51" s="732"/>
      <c r="F51" s="710"/>
      <c r="G51" s="516"/>
      <c r="H51" s="340" t="s">
        <v>19</v>
      </c>
      <c r="I51" s="341">
        <f t="shared" ref="I51:V51" si="8">SUM(I49:I50)</f>
        <v>0</v>
      </c>
      <c r="J51" s="342">
        <f t="shared" si="8"/>
        <v>0</v>
      </c>
      <c r="K51" s="342">
        <f t="shared" si="8"/>
        <v>0</v>
      </c>
      <c r="L51" s="343">
        <f t="shared" si="8"/>
        <v>0</v>
      </c>
      <c r="M51" s="344">
        <f t="shared" si="8"/>
        <v>15</v>
      </c>
      <c r="N51" s="342">
        <f t="shared" si="8"/>
        <v>15</v>
      </c>
      <c r="O51" s="342">
        <f t="shared" si="8"/>
        <v>0</v>
      </c>
      <c r="P51" s="343">
        <f t="shared" si="8"/>
        <v>0</v>
      </c>
      <c r="Q51" s="344">
        <f t="shared" si="8"/>
        <v>0</v>
      </c>
      <c r="R51" s="342">
        <f t="shared" si="8"/>
        <v>0</v>
      </c>
      <c r="S51" s="342">
        <f t="shared" si="8"/>
        <v>0</v>
      </c>
      <c r="T51" s="343">
        <f t="shared" si="8"/>
        <v>0</v>
      </c>
      <c r="U51" s="345">
        <f t="shared" si="8"/>
        <v>0</v>
      </c>
      <c r="V51" s="346">
        <f t="shared" si="8"/>
        <v>0</v>
      </c>
    </row>
    <row r="52" spans="1:22" ht="15.75" customHeight="1" thickBot="1">
      <c r="A52" s="19" t="s">
        <v>7</v>
      </c>
      <c r="B52" s="14" t="s">
        <v>7</v>
      </c>
      <c r="C52" s="721" t="s">
        <v>18</v>
      </c>
      <c r="D52" s="490"/>
      <c r="E52" s="490"/>
      <c r="F52" s="490"/>
      <c r="G52" s="490"/>
      <c r="H52" s="490"/>
      <c r="I52" s="140">
        <f>SUM(I51,I48,I44,I39,I36,I33,I29,I23,I17)</f>
        <v>15050.400000000001</v>
      </c>
      <c r="J52" s="258">
        <f t="shared" ref="J52:T52" si="9">SUM(J51,J48,J44,J39,J36,J33,J29,J23,J17)</f>
        <v>14768.2</v>
      </c>
      <c r="K52" s="258">
        <f t="shared" si="9"/>
        <v>814.8</v>
      </c>
      <c r="L52" s="259">
        <f t="shared" si="9"/>
        <v>282.2</v>
      </c>
      <c r="M52" s="255">
        <f t="shared" si="9"/>
        <v>23155.199999999997</v>
      </c>
      <c r="N52" s="258">
        <f t="shared" si="9"/>
        <v>20197.5</v>
      </c>
      <c r="O52" s="258">
        <f t="shared" si="9"/>
        <v>813.69999999999993</v>
      </c>
      <c r="P52" s="259">
        <f t="shared" si="9"/>
        <v>2957.7000000000003</v>
      </c>
      <c r="Q52" s="255">
        <f t="shared" si="9"/>
        <v>15312</v>
      </c>
      <c r="R52" s="258">
        <f t="shared" si="9"/>
        <v>14636.9</v>
      </c>
      <c r="S52" s="258">
        <f t="shared" si="9"/>
        <v>784.2</v>
      </c>
      <c r="T52" s="259">
        <f t="shared" si="9"/>
        <v>675.1</v>
      </c>
      <c r="U52" s="255">
        <f>SUM(U51,U48,U44,U39,U36,U33,U29,U23,U17)</f>
        <v>17960.900000000001</v>
      </c>
      <c r="V52" s="175">
        <f>SUM(V51,V48,V44,V39,V36,V33,V29,V23,V17)</f>
        <v>17525</v>
      </c>
    </row>
    <row r="53" spans="1:22" ht="15.75" customHeight="1" thickBot="1">
      <c r="A53" s="19" t="s">
        <v>7</v>
      </c>
      <c r="B53" s="1" t="s">
        <v>8</v>
      </c>
      <c r="C53" s="537" t="s">
        <v>133</v>
      </c>
      <c r="D53" s="538"/>
      <c r="E53" s="538"/>
      <c r="F53" s="538"/>
      <c r="G53" s="538"/>
      <c r="H53" s="538"/>
      <c r="I53" s="622"/>
      <c r="J53" s="622"/>
      <c r="K53" s="622"/>
      <c r="L53" s="622"/>
      <c r="M53" s="622"/>
      <c r="N53" s="622"/>
      <c r="O53" s="622"/>
      <c r="P53" s="622"/>
      <c r="Q53" s="622"/>
      <c r="R53" s="622"/>
      <c r="S53" s="622"/>
      <c r="T53" s="622"/>
      <c r="U53" s="538"/>
      <c r="V53" s="539"/>
    </row>
    <row r="54" spans="1:22" s="4" customFormat="1" ht="39" customHeight="1">
      <c r="A54" s="613" t="s">
        <v>7</v>
      </c>
      <c r="B54" s="504" t="s">
        <v>8</v>
      </c>
      <c r="C54" s="517" t="s">
        <v>7</v>
      </c>
      <c r="D54" s="231" t="s">
        <v>193</v>
      </c>
      <c r="E54" s="619"/>
      <c r="F54" s="733" t="s">
        <v>12</v>
      </c>
      <c r="G54" s="501" t="s">
        <v>115</v>
      </c>
      <c r="H54" s="71" t="s">
        <v>10</v>
      </c>
      <c r="I54" s="102">
        <f>J54+L54</f>
        <v>758</v>
      </c>
      <c r="J54" s="112">
        <v>758</v>
      </c>
      <c r="K54" s="112"/>
      <c r="L54" s="125"/>
      <c r="M54" s="102">
        <f>N54+P54</f>
        <v>1009.5</v>
      </c>
      <c r="N54" s="238">
        <f>954.8+10+44.7</f>
        <v>1009.5</v>
      </c>
      <c r="O54" s="238"/>
      <c r="P54" s="239"/>
      <c r="Q54" s="298">
        <f>R54+T54</f>
        <v>638.20000000000005</v>
      </c>
      <c r="R54" s="299">
        <f>588+10+40.2</f>
        <v>638.20000000000005</v>
      </c>
      <c r="S54" s="299"/>
      <c r="T54" s="300"/>
      <c r="U54" s="240">
        <f>653.3+10+44.7</f>
        <v>708</v>
      </c>
      <c r="V54" s="241">
        <f>653.3+10+44.7</f>
        <v>708</v>
      </c>
    </row>
    <row r="55" spans="1:22" s="4" customFormat="1" ht="15.75" customHeight="1">
      <c r="A55" s="614"/>
      <c r="B55" s="505"/>
      <c r="C55" s="518"/>
      <c r="D55" s="232" t="s">
        <v>194</v>
      </c>
      <c r="E55" s="620"/>
      <c r="F55" s="734"/>
      <c r="G55" s="502"/>
      <c r="H55" s="101"/>
      <c r="I55" s="107">
        <f>J55+L55</f>
        <v>0</v>
      </c>
      <c r="J55" s="159"/>
      <c r="K55" s="159"/>
      <c r="L55" s="161"/>
      <c r="M55" s="107">
        <f>N55+P55</f>
        <v>0</v>
      </c>
      <c r="N55" s="159"/>
      <c r="O55" s="159"/>
      <c r="P55" s="161"/>
      <c r="Q55" s="301">
        <f>R55+T55</f>
        <v>0</v>
      </c>
      <c r="R55" s="331"/>
      <c r="S55" s="331"/>
      <c r="T55" s="332"/>
      <c r="U55" s="166"/>
      <c r="V55" s="167"/>
    </row>
    <row r="56" spans="1:22" s="4" customFormat="1" ht="15.75" customHeight="1">
      <c r="A56" s="614"/>
      <c r="B56" s="505"/>
      <c r="C56" s="518"/>
      <c r="D56" s="232" t="s">
        <v>195</v>
      </c>
      <c r="E56" s="620"/>
      <c r="F56" s="734"/>
      <c r="G56" s="502"/>
      <c r="H56" s="20"/>
      <c r="I56" s="189"/>
      <c r="J56" s="216"/>
      <c r="K56" s="216"/>
      <c r="L56" s="218"/>
      <c r="M56" s="189"/>
      <c r="N56" s="216"/>
      <c r="O56" s="216"/>
      <c r="P56" s="218"/>
      <c r="Q56" s="305"/>
      <c r="R56" s="307"/>
      <c r="S56" s="307"/>
      <c r="T56" s="308"/>
      <c r="U56" s="234"/>
      <c r="V56" s="235"/>
    </row>
    <row r="57" spans="1:22" s="4" customFormat="1" ht="15.75" customHeight="1">
      <c r="A57" s="614"/>
      <c r="B57" s="505"/>
      <c r="C57" s="518"/>
      <c r="D57" s="232" t="s">
        <v>196</v>
      </c>
      <c r="E57" s="620"/>
      <c r="F57" s="734"/>
      <c r="G57" s="502"/>
      <c r="H57" s="20"/>
      <c r="I57" s="189"/>
      <c r="J57" s="216"/>
      <c r="K57" s="216"/>
      <c r="L57" s="218"/>
      <c r="M57" s="189"/>
      <c r="N57" s="216"/>
      <c r="O57" s="216"/>
      <c r="P57" s="218"/>
      <c r="Q57" s="305"/>
      <c r="R57" s="307"/>
      <c r="S57" s="307"/>
      <c r="T57" s="308"/>
      <c r="U57" s="234"/>
      <c r="V57" s="235"/>
    </row>
    <row r="58" spans="1:22" s="4" customFormat="1" ht="15.75" customHeight="1">
      <c r="A58" s="614"/>
      <c r="B58" s="505"/>
      <c r="C58" s="518"/>
      <c r="D58" s="232" t="s">
        <v>197</v>
      </c>
      <c r="E58" s="620"/>
      <c r="F58" s="734"/>
      <c r="G58" s="502"/>
      <c r="H58" s="20"/>
      <c r="I58" s="189"/>
      <c r="J58" s="216"/>
      <c r="K58" s="216"/>
      <c r="L58" s="218"/>
      <c r="M58" s="189"/>
      <c r="N58" s="216"/>
      <c r="O58" s="216"/>
      <c r="P58" s="218"/>
      <c r="Q58" s="305"/>
      <c r="R58" s="307"/>
      <c r="S58" s="307"/>
      <c r="T58" s="308"/>
      <c r="U58" s="234"/>
      <c r="V58" s="235"/>
    </row>
    <row r="59" spans="1:22" s="4" customFormat="1" ht="39" customHeight="1">
      <c r="A59" s="614"/>
      <c r="B59" s="505"/>
      <c r="C59" s="518"/>
      <c r="D59" s="232" t="s">
        <v>198</v>
      </c>
      <c r="E59" s="620"/>
      <c r="F59" s="734"/>
      <c r="G59" s="502"/>
      <c r="H59" s="61"/>
      <c r="I59" s="142"/>
      <c r="J59" s="120"/>
      <c r="K59" s="120"/>
      <c r="L59" s="122"/>
      <c r="M59" s="142"/>
      <c r="N59" s="120"/>
      <c r="O59" s="120"/>
      <c r="P59" s="122"/>
      <c r="Q59" s="309"/>
      <c r="R59" s="311"/>
      <c r="S59" s="311"/>
      <c r="T59" s="312"/>
      <c r="U59" s="236"/>
      <c r="V59" s="237"/>
    </row>
    <row r="60" spans="1:22" s="4" customFormat="1" ht="15.75" customHeight="1" thickBot="1">
      <c r="A60" s="615"/>
      <c r="B60" s="506"/>
      <c r="C60" s="519"/>
      <c r="D60" s="251"/>
      <c r="E60" s="621"/>
      <c r="F60" s="735"/>
      <c r="G60" s="503"/>
      <c r="H60" s="352" t="s">
        <v>19</v>
      </c>
      <c r="I60" s="288">
        <f t="shared" ref="I60:V60" si="10">SUM(I54:I59)</f>
        <v>758</v>
      </c>
      <c r="J60" s="289">
        <f t="shared" si="10"/>
        <v>758</v>
      </c>
      <c r="K60" s="289">
        <f t="shared" si="10"/>
        <v>0</v>
      </c>
      <c r="L60" s="290">
        <f t="shared" si="10"/>
        <v>0</v>
      </c>
      <c r="M60" s="288">
        <f t="shared" si="10"/>
        <v>1009.5</v>
      </c>
      <c r="N60" s="289">
        <f t="shared" si="10"/>
        <v>1009.5</v>
      </c>
      <c r="O60" s="289">
        <f t="shared" si="10"/>
        <v>0</v>
      </c>
      <c r="P60" s="290">
        <f t="shared" si="10"/>
        <v>0</v>
      </c>
      <c r="Q60" s="288">
        <f t="shared" si="10"/>
        <v>638.20000000000005</v>
      </c>
      <c r="R60" s="289">
        <f t="shared" si="10"/>
        <v>638.20000000000005</v>
      </c>
      <c r="S60" s="289">
        <f t="shared" si="10"/>
        <v>0</v>
      </c>
      <c r="T60" s="290">
        <f t="shared" si="10"/>
        <v>0</v>
      </c>
      <c r="U60" s="291">
        <f t="shared" si="10"/>
        <v>708</v>
      </c>
      <c r="V60" s="295">
        <f t="shared" si="10"/>
        <v>708</v>
      </c>
    </row>
    <row r="61" spans="1:22" ht="15.75" customHeight="1">
      <c r="A61" s="473" t="s">
        <v>7</v>
      </c>
      <c r="B61" s="481" t="s">
        <v>8</v>
      </c>
      <c r="C61" s="487" t="s">
        <v>8</v>
      </c>
      <c r="D61" s="507" t="s">
        <v>47</v>
      </c>
      <c r="E61" s="713" t="s">
        <v>21</v>
      </c>
      <c r="F61" s="560" t="s">
        <v>13</v>
      </c>
      <c r="G61" s="727" t="s">
        <v>60</v>
      </c>
      <c r="H61" s="456" t="s">
        <v>10</v>
      </c>
      <c r="I61" s="457">
        <f>J61+L61</f>
        <v>0</v>
      </c>
      <c r="J61" s="117"/>
      <c r="K61" s="125"/>
      <c r="L61" s="113"/>
      <c r="M61" s="457">
        <f>N61+P61</f>
        <v>0</v>
      </c>
      <c r="N61" s="458"/>
      <c r="O61" s="125"/>
      <c r="P61" s="113"/>
      <c r="Q61" s="383">
        <f>R61+T61</f>
        <v>0</v>
      </c>
      <c r="R61" s="459"/>
      <c r="S61" s="384"/>
      <c r="T61" s="300"/>
      <c r="U61" s="169"/>
      <c r="V61" s="170"/>
    </row>
    <row r="62" spans="1:22" ht="15.75" customHeight="1">
      <c r="A62" s="474"/>
      <c r="B62" s="482"/>
      <c r="C62" s="488"/>
      <c r="D62" s="508"/>
      <c r="E62" s="714"/>
      <c r="F62" s="532"/>
      <c r="G62" s="728"/>
      <c r="H62" s="460" t="s">
        <v>143</v>
      </c>
      <c r="I62" s="182">
        <f>J62+L62</f>
        <v>769.8</v>
      </c>
      <c r="J62" s="461"/>
      <c r="K62" s="135"/>
      <c r="L62" s="133">
        <v>769.8</v>
      </c>
      <c r="M62" s="182">
        <f>N62+P62</f>
        <v>1500</v>
      </c>
      <c r="N62" s="462"/>
      <c r="O62" s="135"/>
      <c r="P62" s="133">
        <v>1500</v>
      </c>
      <c r="Q62" s="372">
        <f>R62+T62</f>
        <v>1500</v>
      </c>
      <c r="R62" s="463"/>
      <c r="S62" s="373"/>
      <c r="T62" s="325">
        <f>1500-1000+1000</f>
        <v>1500</v>
      </c>
      <c r="U62" s="171"/>
      <c r="V62" s="172"/>
    </row>
    <row r="63" spans="1:22" ht="15.75" customHeight="1">
      <c r="A63" s="474"/>
      <c r="B63" s="482"/>
      <c r="C63" s="488"/>
      <c r="D63" s="508"/>
      <c r="E63" s="714"/>
      <c r="F63" s="532"/>
      <c r="G63" s="728"/>
      <c r="H63" s="464" t="s">
        <v>17</v>
      </c>
      <c r="I63" s="465">
        <f>J63+L63</f>
        <v>0</v>
      </c>
      <c r="J63" s="461"/>
      <c r="K63" s="135"/>
      <c r="L63" s="133"/>
      <c r="M63" s="465"/>
      <c r="N63" s="134"/>
      <c r="O63" s="132"/>
      <c r="P63" s="133"/>
      <c r="Q63" s="315">
        <f>R63+T63</f>
        <v>0</v>
      </c>
      <c r="R63" s="463"/>
      <c r="S63" s="373"/>
      <c r="T63" s="325"/>
      <c r="U63" s="171"/>
      <c r="V63" s="172"/>
    </row>
    <row r="64" spans="1:22" ht="15.75" customHeight="1" thickBot="1">
      <c r="A64" s="475"/>
      <c r="B64" s="483"/>
      <c r="C64" s="489"/>
      <c r="D64" s="509"/>
      <c r="E64" s="715"/>
      <c r="F64" s="561"/>
      <c r="G64" s="729"/>
      <c r="H64" s="453" t="s">
        <v>19</v>
      </c>
      <c r="I64" s="366">
        <f t="shared" ref="I64:V64" si="11">SUM(I61:I63)</f>
        <v>769.8</v>
      </c>
      <c r="J64" s="365">
        <f t="shared" si="11"/>
        <v>0</v>
      </c>
      <c r="K64" s="466">
        <f t="shared" si="11"/>
        <v>0</v>
      </c>
      <c r="L64" s="467">
        <f t="shared" si="11"/>
        <v>769.8</v>
      </c>
      <c r="M64" s="366">
        <f t="shared" si="11"/>
        <v>1500</v>
      </c>
      <c r="N64" s="365">
        <f t="shared" si="11"/>
        <v>0</v>
      </c>
      <c r="O64" s="466">
        <f t="shared" si="11"/>
        <v>0</v>
      </c>
      <c r="P64" s="467">
        <f t="shared" si="11"/>
        <v>1500</v>
      </c>
      <c r="Q64" s="366">
        <f t="shared" si="11"/>
        <v>1500</v>
      </c>
      <c r="R64" s="365">
        <f t="shared" si="11"/>
        <v>0</v>
      </c>
      <c r="S64" s="466">
        <f t="shared" si="11"/>
        <v>0</v>
      </c>
      <c r="T64" s="467">
        <f t="shared" si="11"/>
        <v>1500</v>
      </c>
      <c r="U64" s="356">
        <f t="shared" si="11"/>
        <v>0</v>
      </c>
      <c r="V64" s="356">
        <f t="shared" si="11"/>
        <v>0</v>
      </c>
    </row>
    <row r="65" spans="1:22" ht="15.75" customHeight="1">
      <c r="A65" s="473" t="s">
        <v>7</v>
      </c>
      <c r="B65" s="481" t="s">
        <v>8</v>
      </c>
      <c r="C65" s="488" t="s">
        <v>9</v>
      </c>
      <c r="D65" s="573" t="s">
        <v>122</v>
      </c>
      <c r="E65" s="753"/>
      <c r="F65" s="493" t="s">
        <v>13</v>
      </c>
      <c r="G65" s="496" t="s">
        <v>60</v>
      </c>
      <c r="H65" s="26" t="s">
        <v>10</v>
      </c>
      <c r="I65" s="102">
        <f>J65+L65</f>
        <v>0</v>
      </c>
      <c r="J65" s="103"/>
      <c r="K65" s="103"/>
      <c r="L65" s="104"/>
      <c r="M65" s="102">
        <f>N65+P65</f>
        <v>0</v>
      </c>
      <c r="N65" s="103"/>
      <c r="O65" s="103"/>
      <c r="P65" s="104"/>
      <c r="Q65" s="298">
        <f>R65+T65</f>
        <v>0</v>
      </c>
      <c r="R65" s="323"/>
      <c r="S65" s="323"/>
      <c r="T65" s="347"/>
      <c r="U65" s="173"/>
      <c r="V65" s="106"/>
    </row>
    <row r="66" spans="1:22" ht="15.75" customHeight="1">
      <c r="A66" s="474"/>
      <c r="B66" s="482"/>
      <c r="C66" s="488"/>
      <c r="D66" s="573"/>
      <c r="E66" s="754"/>
      <c r="F66" s="493"/>
      <c r="G66" s="496"/>
      <c r="H66" s="72" t="s">
        <v>143</v>
      </c>
      <c r="I66" s="107">
        <f>J66+L66</f>
        <v>0</v>
      </c>
      <c r="J66" s="108"/>
      <c r="K66" s="108"/>
      <c r="L66" s="109"/>
      <c r="M66" s="107">
        <f>N66+P66</f>
        <v>100</v>
      </c>
      <c r="N66" s="108"/>
      <c r="O66" s="108"/>
      <c r="P66" s="109">
        <v>100</v>
      </c>
      <c r="Q66" s="301">
        <f>R66+T66</f>
        <v>0</v>
      </c>
      <c r="R66" s="348"/>
      <c r="S66" s="348"/>
      <c r="T66" s="349"/>
      <c r="U66" s="174"/>
      <c r="V66" s="138"/>
    </row>
    <row r="67" spans="1:22" ht="15.75" customHeight="1">
      <c r="A67" s="474"/>
      <c r="B67" s="482"/>
      <c r="C67" s="488"/>
      <c r="D67" s="573"/>
      <c r="E67" s="754"/>
      <c r="F67" s="493"/>
      <c r="G67" s="496"/>
      <c r="H67" s="29" t="s">
        <v>29</v>
      </c>
      <c r="I67" s="209">
        <f>J67+L67</f>
        <v>0</v>
      </c>
      <c r="J67" s="136"/>
      <c r="K67" s="136"/>
      <c r="L67" s="137"/>
      <c r="M67" s="209">
        <f>N67+P67</f>
        <v>0</v>
      </c>
      <c r="N67" s="136"/>
      <c r="O67" s="136"/>
      <c r="P67" s="137"/>
      <c r="Q67" s="320">
        <f>R67+T67</f>
        <v>0</v>
      </c>
      <c r="R67" s="302"/>
      <c r="S67" s="302"/>
      <c r="T67" s="350"/>
      <c r="U67" s="253"/>
      <c r="V67" s="139"/>
    </row>
    <row r="68" spans="1:22" ht="15.75" customHeight="1" thickBot="1">
      <c r="A68" s="475"/>
      <c r="B68" s="483"/>
      <c r="C68" s="489"/>
      <c r="D68" s="574"/>
      <c r="E68" s="755"/>
      <c r="F68" s="494"/>
      <c r="G68" s="497"/>
      <c r="H68" s="353" t="s">
        <v>19</v>
      </c>
      <c r="I68" s="357">
        <f>SUM(I65:I67)</f>
        <v>0</v>
      </c>
      <c r="J68" s="355">
        <f t="shared" ref="J68:V68" si="12">SUM(J65:J67)</f>
        <v>0</v>
      </c>
      <c r="K68" s="355">
        <f t="shared" si="12"/>
        <v>0</v>
      </c>
      <c r="L68" s="335">
        <f t="shared" si="12"/>
        <v>0</v>
      </c>
      <c r="M68" s="357">
        <f t="shared" si="12"/>
        <v>100</v>
      </c>
      <c r="N68" s="355">
        <f t="shared" si="12"/>
        <v>0</v>
      </c>
      <c r="O68" s="355">
        <f t="shared" si="12"/>
        <v>0</v>
      </c>
      <c r="P68" s="335">
        <f t="shared" si="12"/>
        <v>100</v>
      </c>
      <c r="Q68" s="357">
        <f t="shared" si="12"/>
        <v>0</v>
      </c>
      <c r="R68" s="355">
        <f t="shared" si="12"/>
        <v>0</v>
      </c>
      <c r="S68" s="355">
        <f t="shared" si="12"/>
        <v>0</v>
      </c>
      <c r="T68" s="335">
        <f t="shared" si="12"/>
        <v>0</v>
      </c>
      <c r="U68" s="288">
        <f t="shared" si="12"/>
        <v>0</v>
      </c>
      <c r="V68" s="295">
        <f t="shared" si="12"/>
        <v>0</v>
      </c>
    </row>
    <row r="69" spans="1:22" ht="15.75" customHeight="1" thickBot="1">
      <c r="A69" s="19" t="s">
        <v>7</v>
      </c>
      <c r="B69" s="1" t="s">
        <v>8</v>
      </c>
      <c r="C69" s="16"/>
      <c r="D69" s="490" t="s">
        <v>18</v>
      </c>
      <c r="E69" s="490"/>
      <c r="F69" s="490"/>
      <c r="G69" s="490"/>
      <c r="H69" s="491"/>
      <c r="I69" s="140">
        <f>SUM(I60,I64,I68)</f>
        <v>1527.8</v>
      </c>
      <c r="J69" s="140">
        <f t="shared" ref="J69:V69" si="13">SUM(J60,J64,J68)</f>
        <v>758</v>
      </c>
      <c r="K69" s="140">
        <f t="shared" si="13"/>
        <v>0</v>
      </c>
      <c r="L69" s="140">
        <f t="shared" si="13"/>
        <v>769.8</v>
      </c>
      <c r="M69" s="140">
        <f t="shared" si="13"/>
        <v>2609.5</v>
      </c>
      <c r="N69" s="140">
        <f t="shared" si="13"/>
        <v>1009.5</v>
      </c>
      <c r="O69" s="140">
        <f t="shared" si="13"/>
        <v>0</v>
      </c>
      <c r="P69" s="140">
        <f t="shared" si="13"/>
        <v>1600</v>
      </c>
      <c r="Q69" s="140">
        <f t="shared" si="13"/>
        <v>2138.1999999999998</v>
      </c>
      <c r="R69" s="140">
        <f t="shared" si="13"/>
        <v>638.20000000000005</v>
      </c>
      <c r="S69" s="140">
        <f t="shared" si="13"/>
        <v>0</v>
      </c>
      <c r="T69" s="140">
        <f t="shared" si="13"/>
        <v>1500</v>
      </c>
      <c r="U69" s="140">
        <f t="shared" si="13"/>
        <v>708</v>
      </c>
      <c r="V69" s="175">
        <f t="shared" si="13"/>
        <v>708</v>
      </c>
    </row>
    <row r="70" spans="1:22" ht="15.75" customHeight="1" thickBot="1">
      <c r="A70" s="22" t="s">
        <v>7</v>
      </c>
      <c r="B70" s="14" t="s">
        <v>9</v>
      </c>
      <c r="C70" s="759" t="s">
        <v>134</v>
      </c>
      <c r="D70" s="760"/>
      <c r="E70" s="760"/>
      <c r="F70" s="760"/>
      <c r="G70" s="760"/>
      <c r="H70" s="760"/>
      <c r="I70" s="760"/>
      <c r="J70" s="760"/>
      <c r="K70" s="760"/>
      <c r="L70" s="760"/>
      <c r="M70" s="760"/>
      <c r="N70" s="760"/>
      <c r="O70" s="760"/>
      <c r="P70" s="760"/>
      <c r="Q70" s="760"/>
      <c r="R70" s="760"/>
      <c r="S70" s="760"/>
      <c r="T70" s="760"/>
      <c r="U70" s="760"/>
      <c r="V70" s="761"/>
    </row>
    <row r="71" spans="1:22" ht="15.75" customHeight="1">
      <c r="A71" s="534" t="s">
        <v>7</v>
      </c>
      <c r="B71" s="504" t="s">
        <v>9</v>
      </c>
      <c r="C71" s="517" t="s">
        <v>7</v>
      </c>
      <c r="D71" s="513" t="s">
        <v>56</v>
      </c>
      <c r="E71" s="484"/>
      <c r="F71" s="510" t="s">
        <v>12</v>
      </c>
      <c r="G71" s="501" t="s">
        <v>115</v>
      </c>
      <c r="H71" s="26" t="s">
        <v>10</v>
      </c>
      <c r="I71" s="102">
        <f>J71+L71</f>
        <v>3081.4</v>
      </c>
      <c r="J71" s="112">
        <v>3081.4</v>
      </c>
      <c r="K71" s="112"/>
      <c r="L71" s="113"/>
      <c r="M71" s="102">
        <f>N71+P71</f>
        <v>3557.8</v>
      </c>
      <c r="N71" s="112">
        <v>3557.8</v>
      </c>
      <c r="O71" s="125"/>
      <c r="P71" s="125"/>
      <c r="Q71" s="298">
        <f>R71+T71</f>
        <v>2522.5</v>
      </c>
      <c r="R71" s="299">
        <f>2523.1-0.6</f>
        <v>2522.5</v>
      </c>
      <c r="S71" s="299"/>
      <c r="T71" s="300"/>
      <c r="U71" s="141">
        <v>3557.8</v>
      </c>
      <c r="V71" s="118">
        <v>3557.8</v>
      </c>
    </row>
    <row r="72" spans="1:22" ht="15.75" customHeight="1">
      <c r="A72" s="535"/>
      <c r="B72" s="505"/>
      <c r="C72" s="518"/>
      <c r="D72" s="514"/>
      <c r="E72" s="485"/>
      <c r="F72" s="511"/>
      <c r="G72" s="502"/>
      <c r="H72" s="61"/>
      <c r="I72" s="142">
        <f>J72+L72</f>
        <v>0</v>
      </c>
      <c r="J72" s="143"/>
      <c r="K72" s="143"/>
      <c r="L72" s="144"/>
      <c r="M72" s="142">
        <f>N72+P72</f>
        <v>0</v>
      </c>
      <c r="N72" s="143"/>
      <c r="O72" s="145"/>
      <c r="P72" s="145"/>
      <c r="Q72" s="309">
        <f>R72+T72</f>
        <v>0</v>
      </c>
      <c r="R72" s="303"/>
      <c r="S72" s="303"/>
      <c r="T72" s="304"/>
      <c r="U72" s="146"/>
      <c r="V72" s="139"/>
    </row>
    <row r="73" spans="1:22" ht="15.75" customHeight="1" thickBot="1">
      <c r="A73" s="536"/>
      <c r="B73" s="506"/>
      <c r="C73" s="519"/>
      <c r="D73" s="515"/>
      <c r="E73" s="486"/>
      <c r="F73" s="512"/>
      <c r="G73" s="503"/>
      <c r="H73" s="297" t="s">
        <v>19</v>
      </c>
      <c r="I73" s="288">
        <f t="shared" ref="I73:V73" si="14">SUM(I71:I72)</f>
        <v>3081.4</v>
      </c>
      <c r="J73" s="289">
        <f t="shared" si="14"/>
        <v>3081.4</v>
      </c>
      <c r="K73" s="289">
        <f t="shared" si="14"/>
        <v>0</v>
      </c>
      <c r="L73" s="290">
        <f t="shared" si="14"/>
        <v>0</v>
      </c>
      <c r="M73" s="288">
        <f t="shared" si="14"/>
        <v>3557.8</v>
      </c>
      <c r="N73" s="289">
        <f t="shared" si="14"/>
        <v>3557.8</v>
      </c>
      <c r="O73" s="289">
        <f t="shared" si="14"/>
        <v>0</v>
      </c>
      <c r="P73" s="290">
        <f t="shared" si="14"/>
        <v>0</v>
      </c>
      <c r="Q73" s="288">
        <f t="shared" si="14"/>
        <v>2522.5</v>
      </c>
      <c r="R73" s="289">
        <f t="shared" si="14"/>
        <v>2522.5</v>
      </c>
      <c r="S73" s="289">
        <f t="shared" si="14"/>
        <v>0</v>
      </c>
      <c r="T73" s="290">
        <f t="shared" si="14"/>
        <v>0</v>
      </c>
      <c r="U73" s="291">
        <f t="shared" si="14"/>
        <v>3557.8</v>
      </c>
      <c r="V73" s="295">
        <f t="shared" si="14"/>
        <v>3557.8</v>
      </c>
    </row>
    <row r="74" spans="1:22" ht="15.75" customHeight="1">
      <c r="A74" s="534" t="s">
        <v>7</v>
      </c>
      <c r="B74" s="504" t="s">
        <v>9</v>
      </c>
      <c r="C74" s="517" t="s">
        <v>8</v>
      </c>
      <c r="D74" s="513" t="s">
        <v>80</v>
      </c>
      <c r="E74" s="767" t="s">
        <v>104</v>
      </c>
      <c r="F74" s="510" t="s">
        <v>13</v>
      </c>
      <c r="G74" s="501" t="s">
        <v>43</v>
      </c>
      <c r="H74" s="247" t="s">
        <v>10</v>
      </c>
      <c r="I74" s="248">
        <f>J74+L74</f>
        <v>0</v>
      </c>
      <c r="J74" s="112"/>
      <c r="K74" s="112"/>
      <c r="L74" s="113"/>
      <c r="M74" s="248">
        <f>N74+P74</f>
        <v>0</v>
      </c>
      <c r="N74" s="112"/>
      <c r="O74" s="112"/>
      <c r="P74" s="113"/>
      <c r="Q74" s="362">
        <f>R74+T74</f>
        <v>0</v>
      </c>
      <c r="R74" s="299"/>
      <c r="S74" s="299"/>
      <c r="T74" s="300"/>
      <c r="U74" s="197"/>
      <c r="V74" s="198"/>
    </row>
    <row r="75" spans="1:22" s="2" customFormat="1" ht="15.75" customHeight="1">
      <c r="A75" s="535"/>
      <c r="B75" s="505"/>
      <c r="C75" s="518"/>
      <c r="D75" s="514"/>
      <c r="E75" s="751"/>
      <c r="F75" s="511"/>
      <c r="G75" s="502"/>
      <c r="H75" s="242" t="s">
        <v>105</v>
      </c>
      <c r="I75" s="209">
        <f>J75+L75</f>
        <v>0</v>
      </c>
      <c r="J75" s="143"/>
      <c r="K75" s="143"/>
      <c r="L75" s="144"/>
      <c r="M75" s="209">
        <f>N75+P75</f>
        <v>222.9</v>
      </c>
      <c r="N75" s="252">
        <v>222.9</v>
      </c>
      <c r="O75" s="243"/>
      <c r="P75" s="244"/>
      <c r="Q75" s="320">
        <f>R75+T75</f>
        <v>222.9</v>
      </c>
      <c r="R75" s="303">
        <v>222.9</v>
      </c>
      <c r="S75" s="303"/>
      <c r="T75" s="304"/>
      <c r="U75" s="245">
        <v>255</v>
      </c>
      <c r="V75" s="246"/>
    </row>
    <row r="76" spans="1:22" s="2" customFormat="1" ht="15.75" customHeight="1" thickBot="1">
      <c r="A76" s="536"/>
      <c r="B76" s="506"/>
      <c r="C76" s="519"/>
      <c r="D76" s="515"/>
      <c r="E76" s="768"/>
      <c r="F76" s="512"/>
      <c r="G76" s="503"/>
      <c r="H76" s="361" t="s">
        <v>19</v>
      </c>
      <c r="I76" s="288">
        <f t="shared" ref="I76:V76" si="15">SUM(I74:I75)</f>
        <v>0</v>
      </c>
      <c r="J76" s="289">
        <f t="shared" si="15"/>
        <v>0</v>
      </c>
      <c r="K76" s="289">
        <f t="shared" si="15"/>
        <v>0</v>
      </c>
      <c r="L76" s="290">
        <f t="shared" si="15"/>
        <v>0</v>
      </c>
      <c r="M76" s="288">
        <f t="shared" si="15"/>
        <v>222.9</v>
      </c>
      <c r="N76" s="289">
        <f t="shared" si="15"/>
        <v>222.9</v>
      </c>
      <c r="O76" s="289">
        <f t="shared" si="15"/>
        <v>0</v>
      </c>
      <c r="P76" s="290">
        <f t="shared" si="15"/>
        <v>0</v>
      </c>
      <c r="Q76" s="288">
        <f t="shared" si="15"/>
        <v>222.9</v>
      </c>
      <c r="R76" s="289">
        <f t="shared" si="15"/>
        <v>222.9</v>
      </c>
      <c r="S76" s="289">
        <f t="shared" si="15"/>
        <v>0</v>
      </c>
      <c r="T76" s="290">
        <f t="shared" si="15"/>
        <v>0</v>
      </c>
      <c r="U76" s="291">
        <f t="shared" si="15"/>
        <v>255</v>
      </c>
      <c r="V76" s="295">
        <f t="shared" si="15"/>
        <v>0</v>
      </c>
    </row>
    <row r="77" spans="1:22" ht="15.75" customHeight="1">
      <c r="A77" s="476" t="s">
        <v>7</v>
      </c>
      <c r="B77" s="611" t="s">
        <v>9</v>
      </c>
      <c r="C77" s="528" t="s">
        <v>9</v>
      </c>
      <c r="D77" s="498" t="s">
        <v>61</v>
      </c>
      <c r="E77" s="689"/>
      <c r="F77" s="492" t="s">
        <v>15</v>
      </c>
      <c r="G77" s="495" t="s">
        <v>115</v>
      </c>
      <c r="H77" s="26" t="s">
        <v>10</v>
      </c>
      <c r="I77" s="102">
        <f>J77+L77</f>
        <v>35</v>
      </c>
      <c r="J77" s="103">
        <v>35</v>
      </c>
      <c r="K77" s="103"/>
      <c r="L77" s="104"/>
      <c r="M77" s="102">
        <f>N77+P77</f>
        <v>62</v>
      </c>
      <c r="N77" s="147">
        <v>62</v>
      </c>
      <c r="O77" s="148"/>
      <c r="P77" s="152"/>
      <c r="Q77" s="298">
        <f>R77+T77</f>
        <v>31.700000000000003</v>
      </c>
      <c r="R77" s="323">
        <f>31.1+0.6</f>
        <v>31.700000000000003</v>
      </c>
      <c r="S77" s="323"/>
      <c r="T77" s="347"/>
      <c r="U77" s="151">
        <v>62</v>
      </c>
      <c r="V77" s="139">
        <v>62</v>
      </c>
    </row>
    <row r="78" spans="1:22" ht="15.75" customHeight="1">
      <c r="A78" s="474"/>
      <c r="B78" s="482"/>
      <c r="C78" s="529"/>
      <c r="D78" s="499"/>
      <c r="E78" s="635"/>
      <c r="F78" s="493"/>
      <c r="G78" s="496"/>
      <c r="H78" s="28"/>
      <c r="I78" s="107">
        <f>J78+L78</f>
        <v>0</v>
      </c>
      <c r="J78" s="108"/>
      <c r="K78" s="108"/>
      <c r="L78" s="109"/>
      <c r="M78" s="107">
        <f>N78+P78</f>
        <v>0</v>
      </c>
      <c r="N78" s="108"/>
      <c r="O78" s="153"/>
      <c r="P78" s="154"/>
      <c r="Q78" s="301">
        <f>R78+T78</f>
        <v>0</v>
      </c>
      <c r="R78" s="348"/>
      <c r="S78" s="348"/>
      <c r="T78" s="349"/>
      <c r="U78" s="129"/>
      <c r="V78" s="138"/>
    </row>
    <row r="79" spans="1:22" ht="15.75" customHeight="1" thickBot="1">
      <c r="A79" s="477"/>
      <c r="B79" s="612"/>
      <c r="C79" s="530"/>
      <c r="D79" s="500"/>
      <c r="E79" s="690"/>
      <c r="F79" s="494"/>
      <c r="G79" s="497"/>
      <c r="H79" s="293" t="s">
        <v>19</v>
      </c>
      <c r="I79" s="288">
        <f t="shared" ref="I79:V79" si="16">SUM(I77:I78)</f>
        <v>35</v>
      </c>
      <c r="J79" s="289">
        <f t="shared" si="16"/>
        <v>35</v>
      </c>
      <c r="K79" s="289">
        <f t="shared" si="16"/>
        <v>0</v>
      </c>
      <c r="L79" s="290">
        <f t="shared" si="16"/>
        <v>0</v>
      </c>
      <c r="M79" s="288">
        <f t="shared" si="16"/>
        <v>62</v>
      </c>
      <c r="N79" s="289">
        <f t="shared" si="16"/>
        <v>62</v>
      </c>
      <c r="O79" s="289">
        <f t="shared" si="16"/>
        <v>0</v>
      </c>
      <c r="P79" s="290">
        <f t="shared" si="16"/>
        <v>0</v>
      </c>
      <c r="Q79" s="288">
        <f t="shared" si="16"/>
        <v>31.700000000000003</v>
      </c>
      <c r="R79" s="289">
        <f t="shared" si="16"/>
        <v>31.700000000000003</v>
      </c>
      <c r="S79" s="289">
        <f t="shared" si="16"/>
        <v>0</v>
      </c>
      <c r="T79" s="290">
        <f t="shared" si="16"/>
        <v>0</v>
      </c>
      <c r="U79" s="291">
        <f t="shared" si="16"/>
        <v>62</v>
      </c>
      <c r="V79" s="295">
        <f t="shared" si="16"/>
        <v>62</v>
      </c>
    </row>
    <row r="80" spans="1:22" s="2" customFormat="1" ht="15.75" customHeight="1" thickBot="1">
      <c r="A80" s="17" t="s">
        <v>7</v>
      </c>
      <c r="B80" s="57" t="s">
        <v>9</v>
      </c>
      <c r="C80" s="568" t="s">
        <v>18</v>
      </c>
      <c r="D80" s="569"/>
      <c r="E80" s="569"/>
      <c r="F80" s="569"/>
      <c r="G80" s="569"/>
      <c r="H80" s="569"/>
      <c r="I80" s="165">
        <f>SUM(I73,I76,I79)</f>
        <v>3116.4</v>
      </c>
      <c r="J80" s="165">
        <f t="shared" ref="J80:V80" si="17">SUM(J73,J76,J79)</f>
        <v>3116.4</v>
      </c>
      <c r="K80" s="165">
        <f t="shared" si="17"/>
        <v>0</v>
      </c>
      <c r="L80" s="165">
        <f t="shared" si="17"/>
        <v>0</v>
      </c>
      <c r="M80" s="165">
        <f t="shared" si="17"/>
        <v>3842.7000000000003</v>
      </c>
      <c r="N80" s="165">
        <f t="shared" si="17"/>
        <v>3842.7000000000003</v>
      </c>
      <c r="O80" s="165">
        <f t="shared" si="17"/>
        <v>0</v>
      </c>
      <c r="P80" s="165">
        <f t="shared" si="17"/>
        <v>0</v>
      </c>
      <c r="Q80" s="165">
        <f t="shared" si="17"/>
        <v>2777.1</v>
      </c>
      <c r="R80" s="165">
        <f t="shared" si="17"/>
        <v>2777.1</v>
      </c>
      <c r="S80" s="165">
        <f t="shared" si="17"/>
        <v>0</v>
      </c>
      <c r="T80" s="165">
        <f t="shared" si="17"/>
        <v>0</v>
      </c>
      <c r="U80" s="165">
        <f t="shared" si="17"/>
        <v>3874.8</v>
      </c>
      <c r="V80" s="165">
        <f t="shared" si="17"/>
        <v>3619.8</v>
      </c>
    </row>
    <row r="81" spans="1:22" ht="15.75" customHeight="1" thickBot="1">
      <c r="A81" s="19" t="s">
        <v>7</v>
      </c>
      <c r="B81" s="1" t="s">
        <v>11</v>
      </c>
      <c r="C81" s="537" t="s">
        <v>98</v>
      </c>
      <c r="D81" s="538"/>
      <c r="E81" s="538"/>
      <c r="F81" s="538"/>
      <c r="G81" s="538"/>
      <c r="H81" s="538"/>
      <c r="I81" s="538"/>
      <c r="J81" s="538"/>
      <c r="K81" s="538"/>
      <c r="L81" s="538"/>
      <c r="M81" s="538"/>
      <c r="N81" s="538"/>
      <c r="O81" s="538"/>
      <c r="P81" s="538"/>
      <c r="Q81" s="538"/>
      <c r="R81" s="538"/>
      <c r="S81" s="538"/>
      <c r="T81" s="538"/>
      <c r="U81" s="538"/>
      <c r="V81" s="539"/>
    </row>
    <row r="82" spans="1:22" ht="15.75" customHeight="1">
      <c r="A82" s="534" t="s">
        <v>7</v>
      </c>
      <c r="B82" s="504" t="s">
        <v>11</v>
      </c>
      <c r="C82" s="517" t="s">
        <v>7</v>
      </c>
      <c r="D82" s="513" t="s">
        <v>25</v>
      </c>
      <c r="E82" s="484"/>
      <c r="F82" s="510" t="s">
        <v>12</v>
      </c>
      <c r="G82" s="501" t="s">
        <v>115</v>
      </c>
      <c r="H82" s="23" t="s">
        <v>10</v>
      </c>
      <c r="I82" s="102">
        <f>J82+L82</f>
        <v>273.89999999999998</v>
      </c>
      <c r="J82" s="112">
        <v>273.89999999999998</v>
      </c>
      <c r="K82" s="112"/>
      <c r="L82" s="113"/>
      <c r="M82" s="102">
        <f>N82+P82</f>
        <v>265.7</v>
      </c>
      <c r="N82" s="112">
        <v>229.4</v>
      </c>
      <c r="O82" s="112"/>
      <c r="P82" s="113">
        <v>36.299999999999997</v>
      </c>
      <c r="Q82" s="298">
        <f>R82+T82</f>
        <v>265.7</v>
      </c>
      <c r="R82" s="299">
        <f>19.2+246.5-36.3</f>
        <v>229.39999999999998</v>
      </c>
      <c r="S82" s="299"/>
      <c r="T82" s="300">
        <v>36.299999999999997</v>
      </c>
      <c r="U82" s="176">
        <v>242</v>
      </c>
      <c r="V82" s="118">
        <v>242</v>
      </c>
    </row>
    <row r="83" spans="1:22" ht="15.75" customHeight="1">
      <c r="A83" s="535"/>
      <c r="B83" s="505"/>
      <c r="C83" s="518"/>
      <c r="D83" s="514"/>
      <c r="E83" s="485"/>
      <c r="F83" s="511"/>
      <c r="G83" s="502"/>
      <c r="H83" s="30"/>
      <c r="I83" s="107">
        <f>J83+L83</f>
        <v>0</v>
      </c>
      <c r="J83" s="132"/>
      <c r="K83" s="132"/>
      <c r="L83" s="133"/>
      <c r="M83" s="107">
        <f>N83+P83</f>
        <v>0</v>
      </c>
      <c r="N83" s="132"/>
      <c r="O83" s="132"/>
      <c r="P83" s="133"/>
      <c r="Q83" s="301">
        <f>R83+T83</f>
        <v>0</v>
      </c>
      <c r="R83" s="324"/>
      <c r="S83" s="324"/>
      <c r="T83" s="325"/>
      <c r="U83" s="177"/>
      <c r="V83" s="164"/>
    </row>
    <row r="84" spans="1:22" ht="15.75" customHeight="1" thickBot="1">
      <c r="A84" s="536"/>
      <c r="B84" s="506"/>
      <c r="C84" s="519"/>
      <c r="D84" s="515"/>
      <c r="E84" s="486"/>
      <c r="F84" s="512"/>
      <c r="G84" s="503"/>
      <c r="H84" s="292" t="s">
        <v>19</v>
      </c>
      <c r="I84" s="288">
        <f t="shared" ref="I84:V84" si="18">SUM(I82:I83)</f>
        <v>273.89999999999998</v>
      </c>
      <c r="J84" s="289">
        <f t="shared" si="18"/>
        <v>273.89999999999998</v>
      </c>
      <c r="K84" s="289">
        <f t="shared" si="18"/>
        <v>0</v>
      </c>
      <c r="L84" s="290">
        <f t="shared" si="18"/>
        <v>0</v>
      </c>
      <c r="M84" s="288">
        <f t="shared" si="18"/>
        <v>265.7</v>
      </c>
      <c r="N84" s="289">
        <f t="shared" si="18"/>
        <v>229.4</v>
      </c>
      <c r="O84" s="289">
        <f t="shared" si="18"/>
        <v>0</v>
      </c>
      <c r="P84" s="290">
        <f t="shared" si="18"/>
        <v>36.299999999999997</v>
      </c>
      <c r="Q84" s="288">
        <f t="shared" si="18"/>
        <v>265.7</v>
      </c>
      <c r="R84" s="289">
        <f t="shared" si="18"/>
        <v>229.39999999999998</v>
      </c>
      <c r="S84" s="289">
        <f t="shared" si="18"/>
        <v>0</v>
      </c>
      <c r="T84" s="290">
        <f t="shared" si="18"/>
        <v>36.299999999999997</v>
      </c>
      <c r="U84" s="291">
        <f t="shared" si="18"/>
        <v>242</v>
      </c>
      <c r="V84" s="295">
        <f t="shared" si="18"/>
        <v>242</v>
      </c>
    </row>
    <row r="85" spans="1:22" ht="15.75" customHeight="1">
      <c r="A85" s="534" t="s">
        <v>7</v>
      </c>
      <c r="B85" s="504" t="s">
        <v>11</v>
      </c>
      <c r="C85" s="517" t="s">
        <v>8</v>
      </c>
      <c r="D85" s="764" t="s">
        <v>135</v>
      </c>
      <c r="E85" s="756" t="s">
        <v>21</v>
      </c>
      <c r="F85" s="560" t="s">
        <v>12</v>
      </c>
      <c r="G85" s="495" t="s">
        <v>60</v>
      </c>
      <c r="H85" s="25" t="s">
        <v>10</v>
      </c>
      <c r="I85" s="102">
        <f>J85+L85</f>
        <v>0</v>
      </c>
      <c r="J85" s="178"/>
      <c r="K85" s="178"/>
      <c r="L85" s="179"/>
      <c r="M85" s="102">
        <f>N85+P85</f>
        <v>0</v>
      </c>
      <c r="N85" s="112"/>
      <c r="O85" s="115"/>
      <c r="P85" s="125"/>
      <c r="Q85" s="298">
        <f>R85+T85</f>
        <v>0</v>
      </c>
      <c r="R85" s="370"/>
      <c r="S85" s="370"/>
      <c r="T85" s="371"/>
      <c r="U85" s="106"/>
      <c r="V85" s="180"/>
    </row>
    <row r="86" spans="1:22" ht="15.75" customHeight="1">
      <c r="A86" s="535"/>
      <c r="B86" s="505"/>
      <c r="C86" s="518"/>
      <c r="D86" s="765"/>
      <c r="E86" s="757"/>
      <c r="F86" s="532"/>
      <c r="G86" s="496"/>
      <c r="H86" s="34" t="s">
        <v>143</v>
      </c>
      <c r="I86" s="107">
        <f>J86+L86</f>
        <v>0</v>
      </c>
      <c r="J86" s="108"/>
      <c r="K86" s="108"/>
      <c r="L86" s="109"/>
      <c r="M86" s="107">
        <f>N86+P86</f>
        <v>0</v>
      </c>
      <c r="N86" s="132"/>
      <c r="O86" s="134"/>
      <c r="P86" s="135"/>
      <c r="Q86" s="301">
        <f>R86+T86</f>
        <v>0</v>
      </c>
      <c r="R86" s="348"/>
      <c r="S86" s="348"/>
      <c r="T86" s="349"/>
      <c r="U86" s="138"/>
      <c r="V86" s="138"/>
    </row>
    <row r="87" spans="1:22" ht="15.75" customHeight="1">
      <c r="A87" s="535"/>
      <c r="B87" s="505"/>
      <c r="C87" s="518"/>
      <c r="D87" s="765"/>
      <c r="E87" s="757"/>
      <c r="F87" s="532"/>
      <c r="G87" s="496"/>
      <c r="H87" s="34" t="s">
        <v>53</v>
      </c>
      <c r="I87" s="127">
        <f>J87+L87</f>
        <v>4392.1000000000004</v>
      </c>
      <c r="J87" s="108"/>
      <c r="K87" s="108"/>
      <c r="L87" s="109">
        <v>4392.1000000000004</v>
      </c>
      <c r="M87" s="127">
        <f>N87+P87</f>
        <v>1200</v>
      </c>
      <c r="N87" s="132"/>
      <c r="O87" s="134"/>
      <c r="P87" s="135">
        <v>1200</v>
      </c>
      <c r="Q87" s="313">
        <f>R87+T87</f>
        <v>1183.4000000000001</v>
      </c>
      <c r="R87" s="348"/>
      <c r="S87" s="348"/>
      <c r="T87" s="349">
        <f>1200-200+190-6.6</f>
        <v>1183.4000000000001</v>
      </c>
      <c r="U87" s="138"/>
      <c r="V87" s="138"/>
    </row>
    <row r="88" spans="1:22" ht="15.75" customHeight="1" thickBot="1">
      <c r="A88" s="536"/>
      <c r="B88" s="506"/>
      <c r="C88" s="519"/>
      <c r="D88" s="766"/>
      <c r="E88" s="758"/>
      <c r="F88" s="561"/>
      <c r="G88" s="497"/>
      <c r="H88" s="363" t="s">
        <v>19</v>
      </c>
      <c r="I88" s="288">
        <f t="shared" ref="I88:V88" si="19">SUM(I85:I87)</f>
        <v>4392.1000000000004</v>
      </c>
      <c r="J88" s="289">
        <f t="shared" si="19"/>
        <v>0</v>
      </c>
      <c r="K88" s="289">
        <f t="shared" si="19"/>
        <v>0</v>
      </c>
      <c r="L88" s="290">
        <f t="shared" si="19"/>
        <v>4392.1000000000004</v>
      </c>
      <c r="M88" s="288">
        <f t="shared" si="19"/>
        <v>1200</v>
      </c>
      <c r="N88" s="289">
        <f t="shared" si="19"/>
        <v>0</v>
      </c>
      <c r="O88" s="289">
        <f t="shared" si="19"/>
        <v>0</v>
      </c>
      <c r="P88" s="290">
        <f t="shared" si="19"/>
        <v>1200</v>
      </c>
      <c r="Q88" s="288">
        <f t="shared" si="19"/>
        <v>1183.4000000000001</v>
      </c>
      <c r="R88" s="289">
        <f t="shared" si="19"/>
        <v>0</v>
      </c>
      <c r="S88" s="289">
        <f t="shared" si="19"/>
        <v>0</v>
      </c>
      <c r="T88" s="290">
        <f t="shared" si="19"/>
        <v>1183.4000000000001</v>
      </c>
      <c r="U88" s="291">
        <f t="shared" si="19"/>
        <v>0</v>
      </c>
      <c r="V88" s="295">
        <f t="shared" si="19"/>
        <v>0</v>
      </c>
    </row>
    <row r="89" spans="1:22" s="4" customFormat="1" ht="15.75" customHeight="1">
      <c r="A89" s="474" t="s">
        <v>7</v>
      </c>
      <c r="B89" s="520" t="s">
        <v>11</v>
      </c>
      <c r="C89" s="762" t="s">
        <v>9</v>
      </c>
      <c r="D89" s="551" t="s">
        <v>201</v>
      </c>
      <c r="E89" s="478" t="s">
        <v>21</v>
      </c>
      <c r="F89" s="769"/>
      <c r="G89" s="496" t="s">
        <v>60</v>
      </c>
      <c r="H89" s="58" t="s">
        <v>10</v>
      </c>
      <c r="I89" s="107">
        <f>J89+L89</f>
        <v>0</v>
      </c>
      <c r="J89" s="132"/>
      <c r="K89" s="132"/>
      <c r="L89" s="135"/>
      <c r="M89" s="107">
        <f>N89+P89</f>
        <v>0</v>
      </c>
      <c r="N89" s="108"/>
      <c r="O89" s="108"/>
      <c r="P89" s="156"/>
      <c r="Q89" s="372">
        <f>R89+T89</f>
        <v>0</v>
      </c>
      <c r="R89" s="324"/>
      <c r="S89" s="324"/>
      <c r="T89" s="373"/>
      <c r="U89" s="177"/>
      <c r="V89" s="177"/>
    </row>
    <row r="90" spans="1:22" s="4" customFormat="1" ht="15.75" customHeight="1">
      <c r="A90" s="474"/>
      <c r="B90" s="520"/>
      <c r="C90" s="762"/>
      <c r="D90" s="552"/>
      <c r="E90" s="479"/>
      <c r="F90" s="769"/>
      <c r="G90" s="496"/>
      <c r="H90" s="99" t="s">
        <v>143</v>
      </c>
      <c r="I90" s="209">
        <f>J90+L90</f>
        <v>1489.5</v>
      </c>
      <c r="J90" s="143"/>
      <c r="K90" s="143"/>
      <c r="L90" s="145">
        <v>1489.5</v>
      </c>
      <c r="M90" s="209">
        <f>N90+P90</f>
        <v>0</v>
      </c>
      <c r="N90" s="136"/>
      <c r="O90" s="136"/>
      <c r="P90" s="157"/>
      <c r="Q90" s="374">
        <f>T90</f>
        <v>0</v>
      </c>
      <c r="R90" s="303"/>
      <c r="S90" s="303"/>
      <c r="T90" s="375"/>
      <c r="U90" s="181"/>
      <c r="V90" s="181"/>
    </row>
    <row r="91" spans="1:22" s="4" customFormat="1" ht="18.75" customHeight="1">
      <c r="A91" s="474"/>
      <c r="B91" s="520"/>
      <c r="C91" s="762"/>
      <c r="D91" s="552"/>
      <c r="E91" s="480"/>
      <c r="F91" s="769"/>
      <c r="G91" s="496"/>
      <c r="H91" s="58" t="s">
        <v>46</v>
      </c>
      <c r="I91" s="182">
        <f>J91+L91</f>
        <v>1556.2</v>
      </c>
      <c r="J91" s="132"/>
      <c r="K91" s="132"/>
      <c r="L91" s="156">
        <v>1556.2</v>
      </c>
      <c r="M91" s="127">
        <f>N91+P91</f>
        <v>1074.7</v>
      </c>
      <c r="N91" s="108"/>
      <c r="O91" s="108"/>
      <c r="P91" s="156">
        <v>1074.7</v>
      </c>
      <c r="Q91" s="372">
        <f>R91+T91</f>
        <v>1074.7</v>
      </c>
      <c r="R91" s="324"/>
      <c r="S91" s="324"/>
      <c r="T91" s="360">
        <v>1074.7</v>
      </c>
      <c r="U91" s="177">
        <v>571.5</v>
      </c>
      <c r="V91" s="177">
        <v>1</v>
      </c>
    </row>
    <row r="92" spans="1:22" s="4" customFormat="1" ht="15.75" customHeight="1">
      <c r="A92" s="474"/>
      <c r="B92" s="520"/>
      <c r="C92" s="762"/>
      <c r="D92" s="552"/>
      <c r="E92" s="750" t="s">
        <v>103</v>
      </c>
      <c r="F92" s="769"/>
      <c r="G92" s="496"/>
      <c r="H92" s="59" t="s">
        <v>48</v>
      </c>
      <c r="I92" s="183">
        <f>J92+L92</f>
        <v>13228.1</v>
      </c>
      <c r="J92" s="158"/>
      <c r="K92" s="158"/>
      <c r="L92" s="184">
        <v>13228.1</v>
      </c>
      <c r="M92" s="185">
        <f>N92+P92</f>
        <v>9135.2000000000007</v>
      </c>
      <c r="N92" s="186"/>
      <c r="O92" s="187"/>
      <c r="P92" s="184">
        <v>9135.2000000000007</v>
      </c>
      <c r="Q92" s="376">
        <f>R92+T92</f>
        <v>9135.2000000000007</v>
      </c>
      <c r="R92" s="377"/>
      <c r="S92" s="377"/>
      <c r="T92" s="378">
        <v>9135.2000000000007</v>
      </c>
      <c r="U92" s="188">
        <v>4857.5</v>
      </c>
      <c r="V92" s="188">
        <v>8.1999999999999993</v>
      </c>
    </row>
    <row r="93" spans="1:22" s="4" customFormat="1" ht="15.75" customHeight="1">
      <c r="A93" s="474"/>
      <c r="B93" s="520"/>
      <c r="C93" s="762"/>
      <c r="D93" s="552"/>
      <c r="E93" s="751"/>
      <c r="F93" s="769"/>
      <c r="G93" s="496"/>
      <c r="H93" s="59" t="s">
        <v>29</v>
      </c>
      <c r="I93" s="183">
        <f>J93+L93</f>
        <v>0</v>
      </c>
      <c r="J93" s="158"/>
      <c r="K93" s="158"/>
      <c r="L93" s="184"/>
      <c r="M93" s="185">
        <f>N93+P93</f>
        <v>1325.5</v>
      </c>
      <c r="N93" s="186"/>
      <c r="O93" s="187"/>
      <c r="P93" s="184">
        <v>1325.5</v>
      </c>
      <c r="Q93" s="376">
        <f>R93+T93</f>
        <v>1325.5</v>
      </c>
      <c r="R93" s="377"/>
      <c r="S93" s="377"/>
      <c r="T93" s="378">
        <v>1325.5</v>
      </c>
      <c r="U93" s="188">
        <v>619.4</v>
      </c>
      <c r="V93" s="188">
        <v>1</v>
      </c>
    </row>
    <row r="94" spans="1:22" s="4" customFormat="1" ht="15.75" customHeight="1" thickBot="1">
      <c r="A94" s="475"/>
      <c r="B94" s="521"/>
      <c r="C94" s="763"/>
      <c r="D94" s="553"/>
      <c r="E94" s="752"/>
      <c r="F94" s="770"/>
      <c r="G94" s="516"/>
      <c r="H94" s="297" t="s">
        <v>19</v>
      </c>
      <c r="I94" s="364">
        <f t="shared" ref="I94:V94" si="20">SUM(I89:I93)</f>
        <v>16273.8</v>
      </c>
      <c r="J94" s="365">
        <f t="shared" si="20"/>
        <v>0</v>
      </c>
      <c r="K94" s="365">
        <f t="shared" si="20"/>
        <v>0</v>
      </c>
      <c r="L94" s="366">
        <f t="shared" si="20"/>
        <v>16273.8</v>
      </c>
      <c r="M94" s="364">
        <f t="shared" si="20"/>
        <v>11535.400000000001</v>
      </c>
      <c r="N94" s="365">
        <f t="shared" si="20"/>
        <v>0</v>
      </c>
      <c r="O94" s="365">
        <f t="shared" si="20"/>
        <v>0</v>
      </c>
      <c r="P94" s="366">
        <f t="shared" si="20"/>
        <v>11535.400000000001</v>
      </c>
      <c r="Q94" s="364">
        <f t="shared" si="20"/>
        <v>11535.400000000001</v>
      </c>
      <c r="R94" s="365">
        <f t="shared" si="20"/>
        <v>0</v>
      </c>
      <c r="S94" s="365">
        <f t="shared" si="20"/>
        <v>0</v>
      </c>
      <c r="T94" s="366">
        <f t="shared" si="20"/>
        <v>11535.400000000001</v>
      </c>
      <c r="U94" s="367">
        <f t="shared" si="20"/>
        <v>6048.4</v>
      </c>
      <c r="V94" s="367">
        <f t="shared" si="20"/>
        <v>10.199999999999999</v>
      </c>
    </row>
    <row r="95" spans="1:22" ht="15.75" customHeight="1">
      <c r="A95" s="474" t="s">
        <v>7</v>
      </c>
      <c r="B95" s="482" t="s">
        <v>11</v>
      </c>
      <c r="C95" s="488" t="s">
        <v>11</v>
      </c>
      <c r="D95" s="573" t="s">
        <v>199</v>
      </c>
      <c r="E95" s="748" t="s">
        <v>21</v>
      </c>
      <c r="F95" s="531" t="s">
        <v>12</v>
      </c>
      <c r="G95" s="496" t="s">
        <v>60</v>
      </c>
      <c r="H95" s="29" t="s">
        <v>10</v>
      </c>
      <c r="I95" s="102">
        <f>J95+L95</f>
        <v>0</v>
      </c>
      <c r="J95" s="136"/>
      <c r="K95" s="136"/>
      <c r="L95" s="137"/>
      <c r="M95" s="102">
        <f>N95+P95</f>
        <v>0</v>
      </c>
      <c r="N95" s="136"/>
      <c r="O95" s="150"/>
      <c r="P95" s="157"/>
      <c r="Q95" s="298">
        <f>R95+T95</f>
        <v>0</v>
      </c>
      <c r="R95" s="302"/>
      <c r="S95" s="379"/>
      <c r="T95" s="350"/>
      <c r="U95" s="139"/>
      <c r="V95" s="106"/>
    </row>
    <row r="96" spans="1:22" ht="15.75" customHeight="1">
      <c r="A96" s="474"/>
      <c r="B96" s="482"/>
      <c r="C96" s="488"/>
      <c r="D96" s="573"/>
      <c r="E96" s="748"/>
      <c r="F96" s="532"/>
      <c r="G96" s="496"/>
      <c r="H96" s="72" t="s">
        <v>143</v>
      </c>
      <c r="I96" s="107">
        <f>J96+L96</f>
        <v>0</v>
      </c>
      <c r="J96" s="108"/>
      <c r="K96" s="129"/>
      <c r="L96" s="109"/>
      <c r="M96" s="107">
        <f>N96+P96</f>
        <v>0</v>
      </c>
      <c r="N96" s="156"/>
      <c r="O96" s="153"/>
      <c r="P96" s="156"/>
      <c r="Q96" s="301">
        <f>R96+T96</f>
        <v>0</v>
      </c>
      <c r="R96" s="348"/>
      <c r="S96" s="359"/>
      <c r="T96" s="349"/>
      <c r="U96" s="138">
        <v>234.6</v>
      </c>
      <c r="V96" s="138">
        <v>286.7</v>
      </c>
    </row>
    <row r="97" spans="1:22" ht="15.75" customHeight="1">
      <c r="A97" s="474"/>
      <c r="B97" s="482"/>
      <c r="C97" s="488"/>
      <c r="D97" s="573"/>
      <c r="E97" s="748"/>
      <c r="F97" s="532"/>
      <c r="G97" s="496"/>
      <c r="H97" s="73" t="s">
        <v>48</v>
      </c>
      <c r="I97" s="107">
        <f>J97+L97</f>
        <v>0</v>
      </c>
      <c r="J97" s="108"/>
      <c r="K97" s="129"/>
      <c r="L97" s="109"/>
      <c r="M97" s="107">
        <f>N97+P97</f>
        <v>1173</v>
      </c>
      <c r="N97" s="156"/>
      <c r="O97" s="153"/>
      <c r="P97" s="156">
        <v>1173</v>
      </c>
      <c r="Q97" s="301">
        <f>R97+T97</f>
        <v>1173</v>
      </c>
      <c r="R97" s="348"/>
      <c r="S97" s="359"/>
      <c r="T97" s="349">
        <v>1173</v>
      </c>
      <c r="U97" s="138">
        <v>2111.6</v>
      </c>
      <c r="V97" s="138">
        <v>1407.8</v>
      </c>
    </row>
    <row r="98" spans="1:22" ht="15.75" customHeight="1" thickBot="1">
      <c r="A98" s="475"/>
      <c r="B98" s="483"/>
      <c r="C98" s="489"/>
      <c r="D98" s="574"/>
      <c r="E98" s="749"/>
      <c r="F98" s="533"/>
      <c r="G98" s="497"/>
      <c r="H98" s="293" t="s">
        <v>19</v>
      </c>
      <c r="I98" s="357">
        <f t="shared" ref="I98:V98" si="21">SUM(I95:I97)</f>
        <v>0</v>
      </c>
      <c r="J98" s="355">
        <f t="shared" si="21"/>
        <v>0</v>
      </c>
      <c r="K98" s="355">
        <f t="shared" si="21"/>
        <v>0</v>
      </c>
      <c r="L98" s="335">
        <f t="shared" si="21"/>
        <v>0</v>
      </c>
      <c r="M98" s="357">
        <f t="shared" si="21"/>
        <v>1173</v>
      </c>
      <c r="N98" s="355">
        <f t="shared" si="21"/>
        <v>0</v>
      </c>
      <c r="O98" s="355">
        <f t="shared" si="21"/>
        <v>0</v>
      </c>
      <c r="P98" s="335">
        <f t="shared" si="21"/>
        <v>1173</v>
      </c>
      <c r="Q98" s="357">
        <f t="shared" si="21"/>
        <v>1173</v>
      </c>
      <c r="R98" s="355">
        <f t="shared" si="21"/>
        <v>0</v>
      </c>
      <c r="S98" s="355">
        <f t="shared" si="21"/>
        <v>0</v>
      </c>
      <c r="T98" s="335">
        <f t="shared" si="21"/>
        <v>1173</v>
      </c>
      <c r="U98" s="295">
        <f t="shared" si="21"/>
        <v>2346.1999999999998</v>
      </c>
      <c r="V98" s="295">
        <f t="shared" si="21"/>
        <v>1694.5</v>
      </c>
    </row>
    <row r="99" spans="1:22" ht="15.75" customHeight="1">
      <c r="A99" s="473" t="s">
        <v>7</v>
      </c>
      <c r="B99" s="481" t="s">
        <v>11</v>
      </c>
      <c r="C99" s="487" t="s">
        <v>12</v>
      </c>
      <c r="D99" s="743" t="s">
        <v>200</v>
      </c>
      <c r="E99" s="747" t="s">
        <v>21</v>
      </c>
      <c r="F99" s="742" t="s">
        <v>13</v>
      </c>
      <c r="G99" s="495" t="s">
        <v>60</v>
      </c>
      <c r="H99" s="26" t="s">
        <v>10</v>
      </c>
      <c r="I99" s="102">
        <f>J99+L99</f>
        <v>0</v>
      </c>
      <c r="J99" s="136"/>
      <c r="K99" s="136"/>
      <c r="L99" s="137"/>
      <c r="M99" s="102">
        <f>N99+P99</f>
        <v>0</v>
      </c>
      <c r="N99" s="103"/>
      <c r="O99" s="148"/>
      <c r="P99" s="155"/>
      <c r="Q99" s="298">
        <f>R99+T99</f>
        <v>0</v>
      </c>
      <c r="R99" s="323"/>
      <c r="S99" s="358"/>
      <c r="T99" s="347"/>
      <c r="U99" s="106"/>
      <c r="V99" s="106"/>
    </row>
    <row r="100" spans="1:22" ht="15.75" customHeight="1">
      <c r="A100" s="474"/>
      <c r="B100" s="482"/>
      <c r="C100" s="488"/>
      <c r="D100" s="573"/>
      <c r="E100" s="748"/>
      <c r="F100" s="532"/>
      <c r="G100" s="496"/>
      <c r="H100" s="72" t="s">
        <v>48</v>
      </c>
      <c r="I100" s="107">
        <f>J100+L100</f>
        <v>0</v>
      </c>
      <c r="J100" s="108"/>
      <c r="K100" s="129"/>
      <c r="L100" s="109"/>
      <c r="M100" s="107">
        <f>N100+P100</f>
        <v>1041.8</v>
      </c>
      <c r="N100" s="156"/>
      <c r="O100" s="153"/>
      <c r="P100" s="156">
        <v>1041.8</v>
      </c>
      <c r="Q100" s="301">
        <f>R100+T100</f>
        <v>1041.8</v>
      </c>
      <c r="R100" s="348"/>
      <c r="S100" s="359"/>
      <c r="T100" s="349">
        <v>1041.8</v>
      </c>
      <c r="U100" s="138">
        <v>980.8</v>
      </c>
      <c r="V100" s="138"/>
    </row>
    <row r="101" spans="1:22" ht="15.75" customHeight="1">
      <c r="A101" s="474"/>
      <c r="B101" s="482"/>
      <c r="C101" s="488"/>
      <c r="D101" s="573"/>
      <c r="E101" s="748"/>
      <c r="F101" s="532"/>
      <c r="G101" s="496"/>
      <c r="H101" s="72" t="s">
        <v>46</v>
      </c>
      <c r="I101" s="107">
        <f>J101+L101</f>
        <v>0</v>
      </c>
      <c r="J101" s="108"/>
      <c r="K101" s="129"/>
      <c r="L101" s="109"/>
      <c r="M101" s="107">
        <f>P101</f>
        <v>122.6</v>
      </c>
      <c r="N101" s="156"/>
      <c r="O101" s="153"/>
      <c r="P101" s="129">
        <v>122.6</v>
      </c>
      <c r="Q101" s="301">
        <f>R101+T101</f>
        <v>122.6</v>
      </c>
      <c r="R101" s="348"/>
      <c r="S101" s="359"/>
      <c r="T101" s="349">
        <v>122.6</v>
      </c>
      <c r="U101" s="138">
        <v>115.4</v>
      </c>
      <c r="V101" s="138"/>
    </row>
    <row r="102" spans="1:22" ht="15.75" customHeight="1">
      <c r="A102" s="474"/>
      <c r="B102" s="482"/>
      <c r="C102" s="488"/>
      <c r="D102" s="573"/>
      <c r="E102" s="748"/>
      <c r="F102" s="532"/>
      <c r="G102" s="496"/>
      <c r="H102" s="28" t="s">
        <v>29</v>
      </c>
      <c r="I102" s="107">
        <f>J102+L102</f>
        <v>0</v>
      </c>
      <c r="J102" s="190"/>
      <c r="K102" s="191"/>
      <c r="L102" s="192"/>
      <c r="M102" s="107">
        <f>P102</f>
        <v>67.599999999999994</v>
      </c>
      <c r="N102" s="193"/>
      <c r="O102" s="194"/>
      <c r="P102" s="191">
        <v>67.599999999999994</v>
      </c>
      <c r="Q102" s="301">
        <f>R102+T102</f>
        <v>67.599999999999994</v>
      </c>
      <c r="R102" s="380"/>
      <c r="S102" s="381"/>
      <c r="T102" s="382">
        <v>67.599999999999994</v>
      </c>
      <c r="U102" s="111">
        <v>63.7</v>
      </c>
      <c r="V102" s="111"/>
    </row>
    <row r="103" spans="1:22" ht="15.75" customHeight="1" thickBot="1">
      <c r="A103" s="475"/>
      <c r="B103" s="483"/>
      <c r="C103" s="489"/>
      <c r="D103" s="574"/>
      <c r="E103" s="749"/>
      <c r="F103" s="533"/>
      <c r="G103" s="497"/>
      <c r="H103" s="293" t="s">
        <v>19</v>
      </c>
      <c r="I103" s="357">
        <f>SUM(I99:I102)</f>
        <v>0</v>
      </c>
      <c r="J103" s="354">
        <f t="shared" ref="J103:V103" si="22">SUM(J99:J102)</f>
        <v>0</v>
      </c>
      <c r="K103" s="354">
        <f t="shared" si="22"/>
        <v>0</v>
      </c>
      <c r="L103" s="368">
        <f t="shared" si="22"/>
        <v>0</v>
      </c>
      <c r="M103" s="357">
        <f t="shared" si="22"/>
        <v>1231.9999999999998</v>
      </c>
      <c r="N103" s="355">
        <f t="shared" si="22"/>
        <v>0</v>
      </c>
      <c r="O103" s="355">
        <f t="shared" si="22"/>
        <v>0</v>
      </c>
      <c r="P103" s="368">
        <f t="shared" si="22"/>
        <v>1231.9999999999998</v>
      </c>
      <c r="Q103" s="357">
        <f t="shared" si="22"/>
        <v>1231.9999999999998</v>
      </c>
      <c r="R103" s="355">
        <f t="shared" si="22"/>
        <v>0</v>
      </c>
      <c r="S103" s="355">
        <f t="shared" si="22"/>
        <v>0</v>
      </c>
      <c r="T103" s="368">
        <f t="shared" si="22"/>
        <v>1231.9999999999998</v>
      </c>
      <c r="U103" s="369">
        <f t="shared" si="22"/>
        <v>1159.9000000000001</v>
      </c>
      <c r="V103" s="369">
        <f t="shared" si="22"/>
        <v>0</v>
      </c>
    </row>
    <row r="104" spans="1:22" ht="15.75" customHeight="1">
      <c r="A104" s="534" t="s">
        <v>7</v>
      </c>
      <c r="B104" s="504" t="s">
        <v>11</v>
      </c>
      <c r="C104" s="517" t="s">
        <v>13</v>
      </c>
      <c r="D104" s="551" t="s">
        <v>213</v>
      </c>
      <c r="E104" s="484"/>
      <c r="F104" s="510" t="s">
        <v>12</v>
      </c>
      <c r="G104" s="501" t="s">
        <v>60</v>
      </c>
      <c r="H104" s="23" t="s">
        <v>10</v>
      </c>
      <c r="I104" s="102">
        <f>J104+L104</f>
        <v>0</v>
      </c>
      <c r="J104" s="112"/>
      <c r="K104" s="112"/>
      <c r="L104" s="113"/>
      <c r="M104" s="102">
        <f>N104+P104</f>
        <v>0</v>
      </c>
      <c r="N104" s="112"/>
      <c r="O104" s="112"/>
      <c r="P104" s="113"/>
      <c r="Q104" s="298">
        <f>R104+T104</f>
        <v>0</v>
      </c>
      <c r="R104" s="299"/>
      <c r="S104" s="299"/>
      <c r="T104" s="300"/>
      <c r="U104" s="176">
        <v>324.10000000000002</v>
      </c>
      <c r="V104" s="118"/>
    </row>
    <row r="105" spans="1:22" ht="15.75" customHeight="1">
      <c r="A105" s="535"/>
      <c r="B105" s="505"/>
      <c r="C105" s="518"/>
      <c r="D105" s="552"/>
      <c r="E105" s="485"/>
      <c r="F105" s="511"/>
      <c r="G105" s="502"/>
      <c r="H105" s="30" t="s">
        <v>29</v>
      </c>
      <c r="I105" s="107">
        <f>J105+L105</f>
        <v>0</v>
      </c>
      <c r="J105" s="132"/>
      <c r="K105" s="132"/>
      <c r="L105" s="133"/>
      <c r="M105" s="107">
        <f>N105+P105</f>
        <v>0</v>
      </c>
      <c r="N105" s="132"/>
      <c r="O105" s="132"/>
      <c r="P105" s="133"/>
      <c r="Q105" s="301">
        <f>R105+T105</f>
        <v>70</v>
      </c>
      <c r="R105" s="324"/>
      <c r="S105" s="324"/>
      <c r="T105" s="325">
        <v>70</v>
      </c>
      <c r="U105" s="177"/>
      <c r="V105" s="164"/>
    </row>
    <row r="106" spans="1:22" ht="15.75" customHeight="1" thickBot="1">
      <c r="A106" s="536"/>
      <c r="B106" s="506"/>
      <c r="C106" s="519"/>
      <c r="D106" s="553"/>
      <c r="E106" s="486"/>
      <c r="F106" s="512"/>
      <c r="G106" s="503"/>
      <c r="H106" s="292" t="s">
        <v>19</v>
      </c>
      <c r="I106" s="288">
        <f t="shared" ref="I106:V106" si="23">SUM(I104:I105)</f>
        <v>0</v>
      </c>
      <c r="J106" s="289">
        <f t="shared" si="23"/>
        <v>0</v>
      </c>
      <c r="K106" s="289">
        <f t="shared" si="23"/>
        <v>0</v>
      </c>
      <c r="L106" s="290">
        <f t="shared" si="23"/>
        <v>0</v>
      </c>
      <c r="M106" s="288">
        <f t="shared" si="23"/>
        <v>0</v>
      </c>
      <c r="N106" s="289">
        <f t="shared" si="23"/>
        <v>0</v>
      </c>
      <c r="O106" s="289">
        <f t="shared" si="23"/>
        <v>0</v>
      </c>
      <c r="P106" s="290">
        <f t="shared" si="23"/>
        <v>0</v>
      </c>
      <c r="Q106" s="288">
        <f t="shared" si="23"/>
        <v>70</v>
      </c>
      <c r="R106" s="289">
        <f t="shared" si="23"/>
        <v>0</v>
      </c>
      <c r="S106" s="289">
        <f t="shared" si="23"/>
        <v>0</v>
      </c>
      <c r="T106" s="290">
        <f t="shared" si="23"/>
        <v>70</v>
      </c>
      <c r="U106" s="291">
        <f t="shared" si="23"/>
        <v>324.10000000000002</v>
      </c>
      <c r="V106" s="295">
        <f t="shared" si="23"/>
        <v>0</v>
      </c>
    </row>
    <row r="107" spans="1:22" ht="15.75" customHeight="1">
      <c r="A107" s="534" t="s">
        <v>7</v>
      </c>
      <c r="B107" s="504" t="s">
        <v>11</v>
      </c>
      <c r="C107" s="517" t="s">
        <v>14</v>
      </c>
      <c r="D107" s="513" t="s">
        <v>215</v>
      </c>
      <c r="E107" s="744" t="s">
        <v>214</v>
      </c>
      <c r="F107" s="510" t="s">
        <v>12</v>
      </c>
      <c r="G107" s="501" t="s">
        <v>60</v>
      </c>
      <c r="H107" s="23" t="s">
        <v>10</v>
      </c>
      <c r="I107" s="102">
        <f>J107+L107</f>
        <v>0</v>
      </c>
      <c r="J107" s="112"/>
      <c r="K107" s="112"/>
      <c r="L107" s="113"/>
      <c r="M107" s="102">
        <f>N107+P107</f>
        <v>0</v>
      </c>
      <c r="N107" s="112"/>
      <c r="O107" s="112"/>
      <c r="P107" s="113"/>
      <c r="Q107" s="298">
        <f>R107+T107</f>
        <v>0</v>
      </c>
      <c r="R107" s="299"/>
      <c r="S107" s="299"/>
      <c r="T107" s="300"/>
      <c r="U107" s="176"/>
      <c r="V107" s="118"/>
    </row>
    <row r="108" spans="1:22" ht="15.75" customHeight="1">
      <c r="A108" s="535"/>
      <c r="B108" s="505"/>
      <c r="C108" s="518"/>
      <c r="D108" s="514"/>
      <c r="E108" s="745"/>
      <c r="F108" s="511"/>
      <c r="G108" s="502"/>
      <c r="H108" s="30"/>
      <c r="I108" s="107">
        <f>J108+L108</f>
        <v>0</v>
      </c>
      <c r="J108" s="132"/>
      <c r="K108" s="132"/>
      <c r="L108" s="133"/>
      <c r="M108" s="107">
        <f>N108+P108</f>
        <v>0</v>
      </c>
      <c r="N108" s="132"/>
      <c r="O108" s="132"/>
      <c r="P108" s="133"/>
      <c r="Q108" s="301">
        <f>R108+T108</f>
        <v>0</v>
      </c>
      <c r="R108" s="324"/>
      <c r="S108" s="324"/>
      <c r="T108" s="325"/>
      <c r="U108" s="177"/>
      <c r="V108" s="164"/>
    </row>
    <row r="109" spans="1:22" ht="15.75" customHeight="1" thickBot="1">
      <c r="A109" s="536"/>
      <c r="B109" s="506"/>
      <c r="C109" s="519"/>
      <c r="D109" s="515"/>
      <c r="E109" s="746"/>
      <c r="F109" s="512"/>
      <c r="G109" s="503"/>
      <c r="H109" s="292" t="s">
        <v>19</v>
      </c>
      <c r="I109" s="288">
        <f t="shared" ref="I109:V109" si="24">SUM(I107:I108)</f>
        <v>0</v>
      </c>
      <c r="J109" s="289">
        <f t="shared" si="24"/>
        <v>0</v>
      </c>
      <c r="K109" s="289">
        <f t="shared" si="24"/>
        <v>0</v>
      </c>
      <c r="L109" s="290">
        <f t="shared" si="24"/>
        <v>0</v>
      </c>
      <c r="M109" s="288">
        <f t="shared" si="24"/>
        <v>0</v>
      </c>
      <c r="N109" s="289">
        <f t="shared" si="24"/>
        <v>0</v>
      </c>
      <c r="O109" s="289">
        <f t="shared" si="24"/>
        <v>0</v>
      </c>
      <c r="P109" s="290">
        <f t="shared" si="24"/>
        <v>0</v>
      </c>
      <c r="Q109" s="288">
        <f t="shared" si="24"/>
        <v>0</v>
      </c>
      <c r="R109" s="289">
        <f t="shared" si="24"/>
        <v>0</v>
      </c>
      <c r="S109" s="289">
        <f t="shared" si="24"/>
        <v>0</v>
      </c>
      <c r="T109" s="290">
        <f t="shared" si="24"/>
        <v>0</v>
      </c>
      <c r="U109" s="291">
        <f t="shared" si="24"/>
        <v>0</v>
      </c>
      <c r="V109" s="295">
        <f t="shared" si="24"/>
        <v>0</v>
      </c>
    </row>
    <row r="110" spans="1:22" ht="15.75" customHeight="1">
      <c r="A110" s="534" t="s">
        <v>7</v>
      </c>
      <c r="B110" s="504" t="s">
        <v>11</v>
      </c>
      <c r="C110" s="517" t="s">
        <v>15</v>
      </c>
      <c r="D110" s="551" t="s">
        <v>222</v>
      </c>
      <c r="E110" s="554"/>
      <c r="F110" s="557" t="s">
        <v>12</v>
      </c>
      <c r="G110" s="501" t="s">
        <v>60</v>
      </c>
      <c r="H110" s="72" t="s">
        <v>143</v>
      </c>
      <c r="I110" s="102">
        <f>J110+L110</f>
        <v>0</v>
      </c>
      <c r="J110" s="103"/>
      <c r="K110" s="103"/>
      <c r="L110" s="104"/>
      <c r="M110" s="102">
        <f>N110+P110</f>
        <v>0</v>
      </c>
      <c r="N110" s="103"/>
      <c r="O110" s="103"/>
      <c r="P110" s="104"/>
      <c r="Q110" s="298">
        <f>R110+T110</f>
        <v>0</v>
      </c>
      <c r="R110" s="323"/>
      <c r="S110" s="323"/>
      <c r="T110" s="347">
        <f>200-200</f>
        <v>0</v>
      </c>
      <c r="U110" s="440">
        <v>200</v>
      </c>
      <c r="V110" s="118"/>
    </row>
    <row r="111" spans="1:22" ht="15.75" customHeight="1">
      <c r="A111" s="535"/>
      <c r="B111" s="505"/>
      <c r="C111" s="518"/>
      <c r="D111" s="552"/>
      <c r="E111" s="555"/>
      <c r="F111" s="558"/>
      <c r="G111" s="502"/>
      <c r="H111" s="30"/>
      <c r="I111" s="107">
        <f>J111+L111</f>
        <v>0</v>
      </c>
      <c r="J111" s="108"/>
      <c r="K111" s="108"/>
      <c r="L111" s="109"/>
      <c r="M111" s="107">
        <f>N111+P111</f>
        <v>0</v>
      </c>
      <c r="N111" s="108"/>
      <c r="O111" s="108"/>
      <c r="P111" s="109"/>
      <c r="Q111" s="301">
        <f>R111+T111</f>
        <v>0</v>
      </c>
      <c r="R111" s="348"/>
      <c r="S111" s="348"/>
      <c r="T111" s="349"/>
      <c r="U111" s="177"/>
      <c r="V111" s="164"/>
    </row>
    <row r="112" spans="1:22" ht="15.75" customHeight="1" thickBot="1">
      <c r="A112" s="536"/>
      <c r="B112" s="506"/>
      <c r="C112" s="519"/>
      <c r="D112" s="553"/>
      <c r="E112" s="556"/>
      <c r="F112" s="559"/>
      <c r="G112" s="503"/>
      <c r="H112" s="468" t="s">
        <v>19</v>
      </c>
      <c r="I112" s="288">
        <f t="shared" ref="I112:V112" si="25">SUM(I110:I111)</f>
        <v>0</v>
      </c>
      <c r="J112" s="289">
        <f t="shared" si="25"/>
        <v>0</v>
      </c>
      <c r="K112" s="289">
        <f t="shared" si="25"/>
        <v>0</v>
      </c>
      <c r="L112" s="290">
        <f t="shared" si="25"/>
        <v>0</v>
      </c>
      <c r="M112" s="288">
        <f t="shared" si="25"/>
        <v>0</v>
      </c>
      <c r="N112" s="289">
        <f t="shared" si="25"/>
        <v>0</v>
      </c>
      <c r="O112" s="289">
        <f t="shared" si="25"/>
        <v>0</v>
      </c>
      <c r="P112" s="290">
        <f t="shared" si="25"/>
        <v>0</v>
      </c>
      <c r="Q112" s="288">
        <f t="shared" si="25"/>
        <v>0</v>
      </c>
      <c r="R112" s="289">
        <f t="shared" si="25"/>
        <v>0</v>
      </c>
      <c r="S112" s="289">
        <f t="shared" si="25"/>
        <v>0</v>
      </c>
      <c r="T112" s="290">
        <f t="shared" si="25"/>
        <v>0</v>
      </c>
      <c r="U112" s="291">
        <f t="shared" si="25"/>
        <v>200</v>
      </c>
      <c r="V112" s="295">
        <f t="shared" si="25"/>
        <v>0</v>
      </c>
    </row>
    <row r="113" spans="1:23" ht="15.75" customHeight="1">
      <c r="A113" s="405" t="s">
        <v>7</v>
      </c>
      <c r="B113" s="406" t="s">
        <v>11</v>
      </c>
      <c r="C113" s="774" t="s">
        <v>18</v>
      </c>
      <c r="D113" s="775"/>
      <c r="E113" s="775"/>
      <c r="F113" s="775"/>
      <c r="G113" s="775"/>
      <c r="H113" s="776"/>
      <c r="I113" s="419">
        <f t="shared" ref="I113:T113" si="26">SUM(I109,I106,I103,I98,I94,I88,I84)</f>
        <v>20939.800000000003</v>
      </c>
      <c r="J113" s="421">
        <f t="shared" si="26"/>
        <v>273.89999999999998</v>
      </c>
      <c r="K113" s="421">
        <f t="shared" si="26"/>
        <v>0</v>
      </c>
      <c r="L113" s="421">
        <f t="shared" si="26"/>
        <v>20665.900000000001</v>
      </c>
      <c r="M113" s="419">
        <f t="shared" si="26"/>
        <v>15406.100000000002</v>
      </c>
      <c r="N113" s="421">
        <f t="shared" si="26"/>
        <v>229.4</v>
      </c>
      <c r="O113" s="421">
        <f t="shared" si="26"/>
        <v>0</v>
      </c>
      <c r="P113" s="421">
        <f t="shared" si="26"/>
        <v>15176.7</v>
      </c>
      <c r="Q113" s="419">
        <f t="shared" si="26"/>
        <v>15459.500000000002</v>
      </c>
      <c r="R113" s="421">
        <f t="shared" si="26"/>
        <v>229.39999999999998</v>
      </c>
      <c r="S113" s="421">
        <f t="shared" si="26"/>
        <v>0</v>
      </c>
      <c r="T113" s="431">
        <f t="shared" si="26"/>
        <v>15230.1</v>
      </c>
      <c r="U113" s="417">
        <f>SUM(U109,U106,U103,U98,U94,U88,U84,U112)</f>
        <v>10320.599999999999</v>
      </c>
      <c r="V113" s="431">
        <f>SUM(V109,V106,V103,V98,V94,V88,V84)</f>
        <v>1946.7</v>
      </c>
    </row>
    <row r="114" spans="1:23" s="4" customFormat="1" ht="15.75" customHeight="1">
      <c r="A114" s="407" t="s">
        <v>7</v>
      </c>
      <c r="B114" s="777" t="s">
        <v>20</v>
      </c>
      <c r="C114" s="777"/>
      <c r="D114" s="777"/>
      <c r="E114" s="777"/>
      <c r="F114" s="777"/>
      <c r="G114" s="777"/>
      <c r="H114" s="778"/>
      <c r="I114" s="429">
        <f t="shared" ref="I114:V114" si="27">SUM(I52,I69,I80,I113)</f>
        <v>40634.400000000009</v>
      </c>
      <c r="J114" s="430">
        <f t="shared" si="27"/>
        <v>18916.500000000004</v>
      </c>
      <c r="K114" s="430">
        <f t="shared" si="27"/>
        <v>814.8</v>
      </c>
      <c r="L114" s="428">
        <f t="shared" si="27"/>
        <v>21717.9</v>
      </c>
      <c r="M114" s="429">
        <f t="shared" si="27"/>
        <v>45013.5</v>
      </c>
      <c r="N114" s="430">
        <f t="shared" si="27"/>
        <v>25279.100000000002</v>
      </c>
      <c r="O114" s="430">
        <f t="shared" si="27"/>
        <v>813.69999999999993</v>
      </c>
      <c r="P114" s="428">
        <f t="shared" si="27"/>
        <v>19734.400000000001</v>
      </c>
      <c r="Q114" s="429">
        <f t="shared" si="27"/>
        <v>35686.800000000003</v>
      </c>
      <c r="R114" s="430">
        <f t="shared" si="27"/>
        <v>18281.600000000002</v>
      </c>
      <c r="S114" s="430">
        <f t="shared" si="27"/>
        <v>784.2</v>
      </c>
      <c r="T114" s="428">
        <f t="shared" si="27"/>
        <v>17405.2</v>
      </c>
      <c r="U114" s="427">
        <f t="shared" si="27"/>
        <v>32864.300000000003</v>
      </c>
      <c r="V114" s="427">
        <f t="shared" si="27"/>
        <v>23799.5</v>
      </c>
    </row>
    <row r="115" spans="1:23" ht="15.75" customHeight="1" thickBot="1">
      <c r="A115" s="415" t="s">
        <v>14</v>
      </c>
      <c r="B115" s="587" t="s">
        <v>22</v>
      </c>
      <c r="C115" s="588"/>
      <c r="D115" s="588"/>
      <c r="E115" s="588"/>
      <c r="F115" s="588"/>
      <c r="G115" s="588"/>
      <c r="H115" s="589"/>
      <c r="I115" s="420">
        <f t="shared" ref="I115:P115" si="28">I114</f>
        <v>40634.400000000009</v>
      </c>
      <c r="J115" s="422">
        <f t="shared" si="28"/>
        <v>18916.500000000004</v>
      </c>
      <c r="K115" s="422">
        <f t="shared" si="28"/>
        <v>814.8</v>
      </c>
      <c r="L115" s="418">
        <f t="shared" si="28"/>
        <v>21717.9</v>
      </c>
      <c r="M115" s="420">
        <f t="shared" si="28"/>
        <v>45013.5</v>
      </c>
      <c r="N115" s="422">
        <f t="shared" si="28"/>
        <v>25279.100000000002</v>
      </c>
      <c r="O115" s="422">
        <f t="shared" si="28"/>
        <v>813.69999999999993</v>
      </c>
      <c r="P115" s="418">
        <f t="shared" si="28"/>
        <v>19734.400000000001</v>
      </c>
      <c r="Q115" s="420">
        <f t="shared" ref="Q115:V115" si="29">Q114</f>
        <v>35686.800000000003</v>
      </c>
      <c r="R115" s="422">
        <f t="shared" si="29"/>
        <v>18281.600000000002</v>
      </c>
      <c r="S115" s="422">
        <f t="shared" si="29"/>
        <v>784.2</v>
      </c>
      <c r="T115" s="418">
        <f t="shared" si="29"/>
        <v>17405.2</v>
      </c>
      <c r="U115" s="416">
        <f t="shared" si="29"/>
        <v>32864.300000000003</v>
      </c>
      <c r="V115" s="416">
        <f t="shared" si="29"/>
        <v>23799.5</v>
      </c>
    </row>
    <row r="116" spans="1:23" ht="15" customHeight="1">
      <c r="A116" s="454"/>
      <c r="B116" s="454"/>
      <c r="C116" s="454"/>
      <c r="D116" s="454"/>
      <c r="E116" s="454"/>
      <c r="F116" s="454"/>
      <c r="G116" s="455"/>
      <c r="H116" s="454"/>
      <c r="M116" s="67"/>
      <c r="N116" s="67"/>
      <c r="O116" s="13"/>
      <c r="P116" s="452"/>
      <c r="Q116" s="35"/>
      <c r="R116" s="451"/>
      <c r="S116" s="451"/>
      <c r="T116" s="35"/>
    </row>
    <row r="117" spans="1:23" ht="15" customHeight="1">
      <c r="A117" s="590" t="s">
        <v>34</v>
      </c>
      <c r="B117" s="590"/>
      <c r="C117" s="590"/>
      <c r="D117" s="590"/>
      <c r="E117" s="590"/>
      <c r="F117" s="590"/>
      <c r="G117" s="590"/>
      <c r="H117" s="590"/>
      <c r="I117" s="590"/>
      <c r="J117" s="590"/>
      <c r="K117" s="590"/>
      <c r="L117" s="590"/>
      <c r="M117" s="590"/>
      <c r="N117" s="590"/>
      <c r="O117" s="590"/>
      <c r="P117" s="590"/>
      <c r="Q117" s="590"/>
      <c r="R117" s="590"/>
      <c r="S117" s="590"/>
      <c r="T117" s="590"/>
      <c r="U117" s="7"/>
      <c r="V117" s="7"/>
    </row>
    <row r="118" spans="1:23" ht="14.25" customHeight="1" thickBot="1">
      <c r="A118" s="5"/>
      <c r="B118" s="6"/>
      <c r="C118" s="6"/>
      <c r="D118" s="6"/>
      <c r="E118" s="12"/>
      <c r="F118" s="12"/>
      <c r="G118" s="6"/>
      <c r="H118" s="11"/>
      <c r="I118" s="545"/>
      <c r="J118" s="545"/>
      <c r="K118" s="545"/>
      <c r="L118" s="545"/>
      <c r="M118" s="7"/>
      <c r="N118" s="7"/>
      <c r="O118" s="8"/>
      <c r="P118" s="7"/>
      <c r="Q118" s="547"/>
      <c r="R118" s="547"/>
      <c r="S118" s="547"/>
      <c r="T118" s="547"/>
      <c r="U118" s="60"/>
      <c r="V118" s="35"/>
    </row>
    <row r="119" spans="1:23" ht="37.5" customHeight="1" thickBot="1">
      <c r="A119" s="771" t="s">
        <v>26</v>
      </c>
      <c r="B119" s="772"/>
      <c r="C119" s="772"/>
      <c r="D119" s="772"/>
      <c r="E119" s="772"/>
      <c r="F119" s="772"/>
      <c r="G119" s="772"/>
      <c r="H119" s="773"/>
      <c r="I119" s="542" t="s">
        <v>123</v>
      </c>
      <c r="J119" s="543"/>
      <c r="K119" s="543"/>
      <c r="L119" s="544"/>
      <c r="M119" s="542" t="s">
        <v>121</v>
      </c>
      <c r="N119" s="543"/>
      <c r="O119" s="543"/>
      <c r="P119" s="544"/>
      <c r="Q119" s="546" t="s">
        <v>92</v>
      </c>
      <c r="R119" s="543"/>
      <c r="S119" s="543"/>
      <c r="T119" s="544"/>
      <c r="U119" s="540"/>
      <c r="V119" s="541"/>
    </row>
    <row r="120" spans="1:23" ht="13.5" customHeight="1">
      <c r="A120" s="591" t="s">
        <v>30</v>
      </c>
      <c r="B120" s="592"/>
      <c r="C120" s="592"/>
      <c r="D120" s="592"/>
      <c r="E120" s="592"/>
      <c r="F120" s="592"/>
      <c r="G120" s="592"/>
      <c r="H120" s="593"/>
      <c r="I120" s="548">
        <f ca="1">SUM(I121:L125)</f>
        <v>21458.000000000004</v>
      </c>
      <c r="J120" s="549"/>
      <c r="K120" s="549"/>
      <c r="L120" s="550"/>
      <c r="M120" s="548">
        <f ca="1">SUM(M121:P125)</f>
        <v>29829.400000000005</v>
      </c>
      <c r="N120" s="549"/>
      <c r="O120" s="549"/>
      <c r="P120" s="550"/>
      <c r="Q120" s="548">
        <f>SUM(Q121:T125)</f>
        <v>20344.300000000003</v>
      </c>
      <c r="R120" s="549"/>
      <c r="S120" s="549"/>
      <c r="T120" s="550"/>
      <c r="U120" s="18"/>
      <c r="V120" s="18"/>
    </row>
    <row r="121" spans="1:23" ht="13.5" customHeight="1">
      <c r="A121" s="525" t="s">
        <v>31</v>
      </c>
      <c r="B121" s="526"/>
      <c r="C121" s="526"/>
      <c r="D121" s="526"/>
      <c r="E121" s="526"/>
      <c r="F121" s="526"/>
      <c r="G121" s="526"/>
      <c r="H121" s="527"/>
      <c r="I121" s="570">
        <f>SUMIF(H12:H115,"SB",I12:I115)</f>
        <v>19138.300000000003</v>
      </c>
      <c r="J121" s="571"/>
      <c r="K121" s="571"/>
      <c r="L121" s="572"/>
      <c r="M121" s="570">
        <f ca="1">SUMIF(H12:H115,"SB",M12:M19)</f>
        <v>27345.100000000002</v>
      </c>
      <c r="N121" s="571"/>
      <c r="O121" s="571"/>
      <c r="P121" s="572"/>
      <c r="Q121" s="570">
        <f>SUMIF(H12:H115,"sb",Q12:Q115)</f>
        <v>17960</v>
      </c>
      <c r="R121" s="571"/>
      <c r="S121" s="571"/>
      <c r="T121" s="572"/>
      <c r="U121" s="281"/>
      <c r="V121" s="77"/>
      <c r="W121" s="35"/>
    </row>
    <row r="122" spans="1:23" ht="13.5" customHeight="1">
      <c r="A122" s="600" t="s">
        <v>117</v>
      </c>
      <c r="B122" s="601"/>
      <c r="C122" s="601"/>
      <c r="D122" s="601"/>
      <c r="E122" s="601"/>
      <c r="F122" s="601"/>
      <c r="G122" s="601"/>
      <c r="H122" s="602"/>
      <c r="I122" s="570">
        <f>SUMIF(H12:H115,"SB(SP)",I12:I115)</f>
        <v>60.400000000000006</v>
      </c>
      <c r="J122" s="571"/>
      <c r="K122" s="571"/>
      <c r="L122" s="572"/>
      <c r="M122" s="581">
        <f>SUMIF(H12:H115,"SB(SP)",M12:M115)</f>
        <v>59.9</v>
      </c>
      <c r="N122" s="582"/>
      <c r="O122" s="582"/>
      <c r="P122" s="583"/>
      <c r="Q122" s="581">
        <f>SUMIF(H12:H115,"sb(sp)",Q12:Q115)</f>
        <v>59.9</v>
      </c>
      <c r="R122" s="582"/>
      <c r="S122" s="582"/>
      <c r="T122" s="583"/>
      <c r="U122" s="281"/>
      <c r="V122" s="77"/>
    </row>
    <row r="123" spans="1:23" ht="13.5" customHeight="1">
      <c r="A123" s="578" t="s">
        <v>106</v>
      </c>
      <c r="B123" s="579"/>
      <c r="C123" s="579"/>
      <c r="D123" s="579"/>
      <c r="E123" s="579"/>
      <c r="F123" s="579"/>
      <c r="G123" s="579"/>
      <c r="H123" s="580"/>
      <c r="I123" s="570">
        <f>SUMIF(H12:H115,"SB(F)",I12:I115)</f>
        <v>0</v>
      </c>
      <c r="J123" s="571"/>
      <c r="K123" s="571"/>
      <c r="L123" s="572"/>
      <c r="M123" s="570">
        <f>SUMIF(H12:H115,"SB(F)",M12:M115)</f>
        <v>222.9</v>
      </c>
      <c r="N123" s="571"/>
      <c r="O123" s="571"/>
      <c r="P123" s="572"/>
      <c r="Q123" s="570">
        <f>SUMIF(H12:H115,"SB(F)",Q12:Q115)</f>
        <v>222.9</v>
      </c>
      <c r="R123" s="571"/>
      <c r="S123" s="571"/>
      <c r="T123" s="572"/>
      <c r="U123" s="281"/>
      <c r="V123" s="77"/>
    </row>
    <row r="124" spans="1:23" ht="13.5" customHeight="1">
      <c r="A124" s="584" t="s">
        <v>142</v>
      </c>
      <c r="B124" s="585"/>
      <c r="C124" s="585"/>
      <c r="D124" s="585"/>
      <c r="E124" s="585"/>
      <c r="F124" s="585"/>
      <c r="G124" s="585"/>
      <c r="H124" s="586"/>
      <c r="I124" s="570">
        <f>SUMIF(H12:H115,"SB(P)",I12:I115)</f>
        <v>2259.3000000000002</v>
      </c>
      <c r="J124" s="571"/>
      <c r="K124" s="571"/>
      <c r="L124" s="572"/>
      <c r="M124" s="570">
        <f>SUMIF(H12:H115,"SB(P)",M12:M115)</f>
        <v>2201.5</v>
      </c>
      <c r="N124" s="571"/>
      <c r="O124" s="571"/>
      <c r="P124" s="572"/>
      <c r="Q124" s="570">
        <f>SUMIF(H12:H115,"SB(P)",Q12:Q115)</f>
        <v>2101.5</v>
      </c>
      <c r="R124" s="571"/>
      <c r="S124" s="571"/>
      <c r="T124" s="572"/>
      <c r="U124" s="281"/>
      <c r="V124" s="77"/>
    </row>
    <row r="125" spans="1:23" ht="13.5" customHeight="1">
      <c r="A125" s="522" t="s">
        <v>28</v>
      </c>
      <c r="B125" s="523"/>
      <c r="C125" s="523"/>
      <c r="D125" s="523"/>
      <c r="E125" s="523"/>
      <c r="F125" s="523"/>
      <c r="G125" s="523"/>
      <c r="H125" s="524"/>
      <c r="I125" s="575">
        <f ca="1">SUMIF(H12:H115,"PF",I12:I114)</f>
        <v>0</v>
      </c>
      <c r="J125" s="576"/>
      <c r="K125" s="576"/>
      <c r="L125" s="577"/>
      <c r="M125" s="575">
        <f>SUMIF(H12:H115,"PF",M12:M115)</f>
        <v>0</v>
      </c>
      <c r="N125" s="576"/>
      <c r="O125" s="576"/>
      <c r="P125" s="577"/>
      <c r="Q125" s="575">
        <f>SUMIF(H12:H115,"pf",Q12:Q115)</f>
        <v>0</v>
      </c>
      <c r="R125" s="576"/>
      <c r="S125" s="576"/>
      <c r="T125" s="577"/>
      <c r="U125" s="281"/>
      <c r="V125" s="77"/>
    </row>
    <row r="126" spans="1:23" ht="13.5" customHeight="1">
      <c r="A126" s="608" t="s">
        <v>32</v>
      </c>
      <c r="B126" s="609"/>
      <c r="C126" s="609"/>
      <c r="D126" s="609"/>
      <c r="E126" s="609"/>
      <c r="F126" s="609"/>
      <c r="G126" s="609"/>
      <c r="H126" s="610"/>
      <c r="I126" s="594">
        <f>SUM(I127:L130)</f>
        <v>19176.400000000001</v>
      </c>
      <c r="J126" s="595"/>
      <c r="K126" s="595"/>
      <c r="L126" s="596"/>
      <c r="M126" s="594">
        <f>SUM(M127:P130)</f>
        <v>15184.1</v>
      </c>
      <c r="N126" s="595"/>
      <c r="O126" s="595"/>
      <c r="P126" s="596"/>
      <c r="Q126" s="594">
        <f>SUM(Q127:T130)</f>
        <v>15342.500000000002</v>
      </c>
      <c r="R126" s="595"/>
      <c r="S126" s="595"/>
      <c r="T126" s="596"/>
      <c r="U126" s="18"/>
      <c r="V126" s="254"/>
    </row>
    <row r="127" spans="1:23" ht="13.5" customHeight="1">
      <c r="A127" s="584" t="s">
        <v>49</v>
      </c>
      <c r="B127" s="585"/>
      <c r="C127" s="585"/>
      <c r="D127" s="585"/>
      <c r="E127" s="585"/>
      <c r="F127" s="585"/>
      <c r="G127" s="585"/>
      <c r="H127" s="586"/>
      <c r="I127" s="570">
        <f>SUMIF(H12:H115,"LRVB",I12:I115)</f>
        <v>1556.2</v>
      </c>
      <c r="J127" s="571"/>
      <c r="K127" s="571"/>
      <c r="L127" s="572"/>
      <c r="M127" s="570">
        <f>SUMIF(H12:H115,"LRVB",M12:M115)</f>
        <v>1197.3</v>
      </c>
      <c r="N127" s="571"/>
      <c r="O127" s="571"/>
      <c r="P127" s="572"/>
      <c r="Q127" s="570">
        <f>SUMIF(H12:H115,"LRVB",Q12:Q115)</f>
        <v>1197.3</v>
      </c>
      <c r="R127" s="571"/>
      <c r="S127" s="571"/>
      <c r="T127" s="572"/>
      <c r="U127" s="281"/>
      <c r="V127" s="77"/>
    </row>
    <row r="128" spans="1:23" ht="13.5" customHeight="1">
      <c r="A128" s="578" t="s">
        <v>54</v>
      </c>
      <c r="B128" s="579"/>
      <c r="C128" s="579"/>
      <c r="D128" s="579"/>
      <c r="E128" s="579"/>
      <c r="F128" s="579"/>
      <c r="G128" s="579"/>
      <c r="H128" s="580"/>
      <c r="I128" s="581">
        <f>SUMIF(H12:H115,"KPP",I12:I115)</f>
        <v>4392.1000000000004</v>
      </c>
      <c r="J128" s="582"/>
      <c r="K128" s="582"/>
      <c r="L128" s="583"/>
      <c r="M128" s="581">
        <f>SUMIF(H12:H115,"KPP",M12:M115)</f>
        <v>1200</v>
      </c>
      <c r="N128" s="582"/>
      <c r="O128" s="582"/>
      <c r="P128" s="583"/>
      <c r="Q128" s="581">
        <f>SUMIF(H12:H115,"KPP",Q12:Q115)</f>
        <v>1288.4000000000001</v>
      </c>
      <c r="R128" s="582"/>
      <c r="S128" s="582"/>
      <c r="T128" s="583"/>
      <c r="U128" s="281"/>
      <c r="V128" s="77"/>
    </row>
    <row r="129" spans="1:22" ht="13.5" customHeight="1">
      <c r="A129" s="597" t="s">
        <v>50</v>
      </c>
      <c r="B129" s="598"/>
      <c r="C129" s="598"/>
      <c r="D129" s="598"/>
      <c r="E129" s="598"/>
      <c r="F129" s="598"/>
      <c r="G129" s="598"/>
      <c r="H129" s="599"/>
      <c r="I129" s="565">
        <f>SUMIF(H12:H115,"ES",I12:I115)</f>
        <v>13228.1</v>
      </c>
      <c r="J129" s="566"/>
      <c r="K129" s="566"/>
      <c r="L129" s="567"/>
      <c r="M129" s="565">
        <f>SUMIF(H12:H115,"ES",M12:M115)</f>
        <v>11393.7</v>
      </c>
      <c r="N129" s="566"/>
      <c r="O129" s="566"/>
      <c r="P129" s="567"/>
      <c r="Q129" s="565">
        <f>SUMIF(H12:H115,"ES",Q12:Q115)</f>
        <v>11393.7</v>
      </c>
      <c r="R129" s="566"/>
      <c r="S129" s="566"/>
      <c r="T129" s="567"/>
      <c r="U129" s="281"/>
      <c r="V129" s="77"/>
    </row>
    <row r="130" spans="1:22" ht="13.5" customHeight="1">
      <c r="A130" s="739" t="s">
        <v>144</v>
      </c>
      <c r="B130" s="740"/>
      <c r="C130" s="740"/>
      <c r="D130" s="740"/>
      <c r="E130" s="740"/>
      <c r="F130" s="740"/>
      <c r="G130" s="740"/>
      <c r="H130" s="741"/>
      <c r="I130" s="575">
        <f>SUMIF(H12:H115,"Kt",I12:I115)</f>
        <v>0</v>
      </c>
      <c r="J130" s="576"/>
      <c r="K130" s="576"/>
      <c r="L130" s="577"/>
      <c r="M130" s="575">
        <f>SUMIF(H12:H115,"Kt",M12:M115)</f>
        <v>1393.1</v>
      </c>
      <c r="N130" s="576"/>
      <c r="O130" s="576"/>
      <c r="P130" s="577"/>
      <c r="Q130" s="575">
        <f>SUMIF(H12:H115,"Kt",Q12:Q115)</f>
        <v>1463.1</v>
      </c>
      <c r="R130" s="576"/>
      <c r="S130" s="576"/>
      <c r="T130" s="577"/>
      <c r="U130" s="281"/>
      <c r="V130" s="77"/>
    </row>
    <row r="131" spans="1:22" ht="13.5" customHeight="1" thickBot="1">
      <c r="A131" s="605" t="s">
        <v>33</v>
      </c>
      <c r="B131" s="606"/>
      <c r="C131" s="606"/>
      <c r="D131" s="606"/>
      <c r="E131" s="606"/>
      <c r="F131" s="606"/>
      <c r="G131" s="606"/>
      <c r="H131" s="607"/>
      <c r="I131" s="562">
        <f ca="1">I126+I120</f>
        <v>40634.400000000009</v>
      </c>
      <c r="J131" s="563"/>
      <c r="K131" s="563"/>
      <c r="L131" s="564"/>
      <c r="M131" s="562">
        <f ca="1">M126+M120</f>
        <v>45013.500000000007</v>
      </c>
      <c r="N131" s="563"/>
      <c r="O131" s="563"/>
      <c r="P131" s="564"/>
      <c r="Q131" s="562">
        <f>Q126+Q120</f>
        <v>35686.800000000003</v>
      </c>
      <c r="R131" s="563"/>
      <c r="S131" s="563"/>
      <c r="T131" s="564"/>
      <c r="U131" s="76"/>
      <c r="V131" s="76"/>
    </row>
    <row r="132" spans="1:22">
      <c r="I132" s="603"/>
      <c r="J132" s="604"/>
      <c r="K132" s="604"/>
      <c r="L132" s="604"/>
      <c r="Q132" s="603"/>
      <c r="R132" s="604"/>
      <c r="S132" s="604"/>
      <c r="T132" s="604"/>
    </row>
  </sheetData>
  <mergeCells count="250">
    <mergeCell ref="A119:H119"/>
    <mergeCell ref="G99:G103"/>
    <mergeCell ref="C113:H113"/>
    <mergeCell ref="C99:C103"/>
    <mergeCell ref="B114:H114"/>
    <mergeCell ref="D104:D106"/>
    <mergeCell ref="E104:E106"/>
    <mergeCell ref="F104:F106"/>
    <mergeCell ref="A110:A112"/>
    <mergeCell ref="B110:B112"/>
    <mergeCell ref="A104:A106"/>
    <mergeCell ref="B104:B106"/>
    <mergeCell ref="C104:C106"/>
    <mergeCell ref="A99:A103"/>
    <mergeCell ref="B99:B103"/>
    <mergeCell ref="B77:B79"/>
    <mergeCell ref="E65:E68"/>
    <mergeCell ref="E85:E88"/>
    <mergeCell ref="C70:V70"/>
    <mergeCell ref="A95:A98"/>
    <mergeCell ref="C89:C94"/>
    <mergeCell ref="A71:A73"/>
    <mergeCell ref="C95:C98"/>
    <mergeCell ref="D85:D88"/>
    <mergeCell ref="A85:A88"/>
    <mergeCell ref="B85:B88"/>
    <mergeCell ref="C71:C73"/>
    <mergeCell ref="E74:E76"/>
    <mergeCell ref="G85:G88"/>
    <mergeCell ref="C85:C88"/>
    <mergeCell ref="F89:F94"/>
    <mergeCell ref="A74:A76"/>
    <mergeCell ref="G71:G73"/>
    <mergeCell ref="F71:F73"/>
    <mergeCell ref="A130:H130"/>
    <mergeCell ref="I130:L130"/>
    <mergeCell ref="M130:P130"/>
    <mergeCell ref="G74:G76"/>
    <mergeCell ref="D65:D68"/>
    <mergeCell ref="C82:C84"/>
    <mergeCell ref="F99:F103"/>
    <mergeCell ref="D71:D73"/>
    <mergeCell ref="E77:E79"/>
    <mergeCell ref="D99:D103"/>
    <mergeCell ref="C107:C109"/>
    <mergeCell ref="D107:D109"/>
    <mergeCell ref="E107:E109"/>
    <mergeCell ref="D89:D94"/>
    <mergeCell ref="F74:F76"/>
    <mergeCell ref="G104:G106"/>
    <mergeCell ref="D74:D76"/>
    <mergeCell ref="E99:E103"/>
    <mergeCell ref="E95:E98"/>
    <mergeCell ref="I120:L120"/>
    <mergeCell ref="C65:C68"/>
    <mergeCell ref="F65:F68"/>
    <mergeCell ref="G65:G68"/>
    <mergeCell ref="E92:E94"/>
    <mergeCell ref="G34:G36"/>
    <mergeCell ref="E61:E64"/>
    <mergeCell ref="C54:C60"/>
    <mergeCell ref="C34:C36"/>
    <mergeCell ref="G49:G51"/>
    <mergeCell ref="G37:G39"/>
    <mergeCell ref="D34:D36"/>
    <mergeCell ref="C52:H52"/>
    <mergeCell ref="F37:F39"/>
    <mergeCell ref="D45:D48"/>
    <mergeCell ref="G61:G64"/>
    <mergeCell ref="E49:E51"/>
    <mergeCell ref="F45:F48"/>
    <mergeCell ref="G54:G60"/>
    <mergeCell ref="F49:F51"/>
    <mergeCell ref="F61:F64"/>
    <mergeCell ref="E54:E60"/>
    <mergeCell ref="F54:F60"/>
    <mergeCell ref="E45:E48"/>
    <mergeCell ref="D49:D51"/>
    <mergeCell ref="F24:F27"/>
    <mergeCell ref="F28:F29"/>
    <mergeCell ref="F30:F33"/>
    <mergeCell ref="C30:C33"/>
    <mergeCell ref="B30:B33"/>
    <mergeCell ref="F40:F44"/>
    <mergeCell ref="B24:B29"/>
    <mergeCell ref="A24:A29"/>
    <mergeCell ref="A40:A44"/>
    <mergeCell ref="E24:E29"/>
    <mergeCell ref="B34:B36"/>
    <mergeCell ref="A34:A36"/>
    <mergeCell ref="A12:A17"/>
    <mergeCell ref="L6:L7"/>
    <mergeCell ref="C18:C23"/>
    <mergeCell ref="G18:G23"/>
    <mergeCell ref="F18:F23"/>
    <mergeCell ref="G12:G17"/>
    <mergeCell ref="B12:B17"/>
    <mergeCell ref="C12:C17"/>
    <mergeCell ref="E12:E17"/>
    <mergeCell ref="F12:F17"/>
    <mergeCell ref="A8:V8"/>
    <mergeCell ref="B10:V10"/>
    <mergeCell ref="A9:V9"/>
    <mergeCell ref="A18:A23"/>
    <mergeCell ref="C11:V11"/>
    <mergeCell ref="B18:B23"/>
    <mergeCell ref="A2:V2"/>
    <mergeCell ref="A5:A7"/>
    <mergeCell ref="B5:B7"/>
    <mergeCell ref="C5:C7"/>
    <mergeCell ref="D5:D7"/>
    <mergeCell ref="R6:S6"/>
    <mergeCell ref="M5:P5"/>
    <mergeCell ref="I5:L5"/>
    <mergeCell ref="J6:K6"/>
    <mergeCell ref="U5:U7"/>
    <mergeCell ref="A3:V3"/>
    <mergeCell ref="U4:V4"/>
    <mergeCell ref="Q5:T5"/>
    <mergeCell ref="F5:F7"/>
    <mergeCell ref="G5:G7"/>
    <mergeCell ref="E5:E7"/>
    <mergeCell ref="V5:V7"/>
    <mergeCell ref="M6:M7"/>
    <mergeCell ref="H5:H7"/>
    <mergeCell ref="N6:O6"/>
    <mergeCell ref="T6:T7"/>
    <mergeCell ref="Q6:Q7"/>
    <mergeCell ref="P6:P7"/>
    <mergeCell ref="I6:I7"/>
    <mergeCell ref="A45:A48"/>
    <mergeCell ref="C45:C48"/>
    <mergeCell ref="B49:B51"/>
    <mergeCell ref="A54:A60"/>
    <mergeCell ref="G24:G29"/>
    <mergeCell ref="C37:C39"/>
    <mergeCell ref="E34:E36"/>
    <mergeCell ref="A49:A51"/>
    <mergeCell ref="C49:C51"/>
    <mergeCell ref="B45:B48"/>
    <mergeCell ref="B54:B60"/>
    <mergeCell ref="C53:V53"/>
    <mergeCell ref="G30:G33"/>
    <mergeCell ref="C24:C29"/>
    <mergeCell ref="A30:A33"/>
    <mergeCell ref="A37:A39"/>
    <mergeCell ref="C40:C44"/>
    <mergeCell ref="D40:D44"/>
    <mergeCell ref="B40:B44"/>
    <mergeCell ref="B37:B39"/>
    <mergeCell ref="F34:F36"/>
    <mergeCell ref="E40:E44"/>
    <mergeCell ref="D37:D39"/>
    <mergeCell ref="D28:D29"/>
    <mergeCell ref="Q122:T122"/>
    <mergeCell ref="A122:H122"/>
    <mergeCell ref="M123:P123"/>
    <mergeCell ref="Q121:T121"/>
    <mergeCell ref="I123:L123"/>
    <mergeCell ref="I132:L132"/>
    <mergeCell ref="Q128:T128"/>
    <mergeCell ref="M126:P126"/>
    <mergeCell ref="M128:P128"/>
    <mergeCell ref="M127:P127"/>
    <mergeCell ref="I131:L131"/>
    <mergeCell ref="Q131:T131"/>
    <mergeCell ref="Q130:T130"/>
    <mergeCell ref="Q127:T127"/>
    <mergeCell ref="Q132:T132"/>
    <mergeCell ref="A131:H131"/>
    <mergeCell ref="A128:H128"/>
    <mergeCell ref="A127:H127"/>
    <mergeCell ref="A126:H126"/>
    <mergeCell ref="I121:L121"/>
    <mergeCell ref="M124:P124"/>
    <mergeCell ref="Q124:T124"/>
    <mergeCell ref="Q123:T123"/>
    <mergeCell ref="Q125:T125"/>
    <mergeCell ref="M131:P131"/>
    <mergeCell ref="M129:P129"/>
    <mergeCell ref="C80:H80"/>
    <mergeCell ref="I127:L127"/>
    <mergeCell ref="B95:B98"/>
    <mergeCell ref="D95:D98"/>
    <mergeCell ref="I125:L125"/>
    <mergeCell ref="A123:H123"/>
    <mergeCell ref="M125:P125"/>
    <mergeCell ref="M122:P122"/>
    <mergeCell ref="I122:L122"/>
    <mergeCell ref="M121:P121"/>
    <mergeCell ref="A124:H124"/>
    <mergeCell ref="B115:H115"/>
    <mergeCell ref="A117:T117"/>
    <mergeCell ref="I119:L119"/>
    <mergeCell ref="I124:L124"/>
    <mergeCell ref="A120:H120"/>
    <mergeCell ref="Q129:T129"/>
    <mergeCell ref="Q126:T126"/>
    <mergeCell ref="I126:L126"/>
    <mergeCell ref="I129:L129"/>
    <mergeCell ref="I128:L128"/>
    <mergeCell ref="A129:H129"/>
    <mergeCell ref="A125:H125"/>
    <mergeCell ref="A121:H121"/>
    <mergeCell ref="G95:G98"/>
    <mergeCell ref="C77:C79"/>
    <mergeCell ref="F95:F98"/>
    <mergeCell ref="B107:B109"/>
    <mergeCell ref="F107:F109"/>
    <mergeCell ref="G107:G109"/>
    <mergeCell ref="A82:A84"/>
    <mergeCell ref="A107:A109"/>
    <mergeCell ref="C81:V81"/>
    <mergeCell ref="U119:V119"/>
    <mergeCell ref="M119:P119"/>
    <mergeCell ref="I118:L118"/>
    <mergeCell ref="Q119:T119"/>
    <mergeCell ref="Q118:T118"/>
    <mergeCell ref="M120:P120"/>
    <mergeCell ref="Q120:T120"/>
    <mergeCell ref="C110:C112"/>
    <mergeCell ref="D110:D112"/>
    <mergeCell ref="E110:E112"/>
    <mergeCell ref="F110:F112"/>
    <mergeCell ref="G110:G112"/>
    <mergeCell ref="F85:F88"/>
    <mergeCell ref="A61:A64"/>
    <mergeCell ref="A65:A68"/>
    <mergeCell ref="A77:A79"/>
    <mergeCell ref="E89:E91"/>
    <mergeCell ref="B61:B64"/>
    <mergeCell ref="E82:E84"/>
    <mergeCell ref="C61:C64"/>
    <mergeCell ref="D69:H69"/>
    <mergeCell ref="F77:F79"/>
    <mergeCell ref="G77:G79"/>
    <mergeCell ref="B65:B68"/>
    <mergeCell ref="D77:D79"/>
    <mergeCell ref="G82:G84"/>
    <mergeCell ref="B71:B73"/>
    <mergeCell ref="E71:E73"/>
    <mergeCell ref="D61:D64"/>
    <mergeCell ref="F82:F84"/>
    <mergeCell ref="D82:D84"/>
    <mergeCell ref="B82:B84"/>
    <mergeCell ref="G89:G94"/>
    <mergeCell ref="C74:C76"/>
    <mergeCell ref="B74:B76"/>
    <mergeCell ref="B89:B94"/>
    <mergeCell ref="A89:A94"/>
  </mergeCells>
  <phoneticPr fontId="4" type="noConversion"/>
  <printOptions horizontalCentered="1"/>
  <pageMargins left="0.15748031496062992" right="0.15748031496062992" top="0.19685039370078741" bottom="0.19685039370078741" header="0" footer="0"/>
  <pageSetup paperSize="9" scale="75" orientation="landscape" r:id="rId1"/>
  <headerFooter alignWithMargins="0">
    <oddFooter>Puslapių &amp;P</oddFooter>
  </headerFooter>
  <rowBreaks count="3" manualBreakCount="3">
    <brk id="39" max="21" man="1"/>
    <brk id="73" max="21" man="1"/>
    <brk id="11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zoomScaleSheetLayoutView="100" workbookViewId="0">
      <selection activeCell="C17" sqref="C17"/>
    </sheetView>
  </sheetViews>
  <sheetFormatPr defaultRowHeight="12.75"/>
  <cols>
    <col min="1" max="1" width="40" style="13" customWidth="1"/>
    <col min="2" max="6" width="11.7109375" style="13" customWidth="1"/>
    <col min="7" max="16384" width="9.140625" style="13"/>
  </cols>
  <sheetData>
    <row r="1" spans="1:8" s="62" customFormat="1" ht="15.75" customHeight="1">
      <c r="A1" s="779" t="s">
        <v>87</v>
      </c>
      <c r="B1" s="779"/>
      <c r="C1" s="779"/>
      <c r="D1" s="779"/>
      <c r="E1" s="779"/>
      <c r="F1" s="779"/>
    </row>
    <row r="2" spans="1:8" s="62" customFormat="1" ht="16.5" thickBot="1">
      <c r="F2" s="15" t="s">
        <v>35</v>
      </c>
    </row>
    <row r="3" spans="1:8" customFormat="1" ht="14.25" customHeight="1">
      <c r="A3" s="780" t="s">
        <v>23</v>
      </c>
      <c r="B3" s="783" t="s">
        <v>219</v>
      </c>
      <c r="C3" s="780" t="s">
        <v>119</v>
      </c>
      <c r="D3" s="783" t="s">
        <v>220</v>
      </c>
      <c r="E3" s="783" t="s">
        <v>95</v>
      </c>
      <c r="F3" s="783" t="s">
        <v>124</v>
      </c>
    </row>
    <row r="4" spans="1:8" customFormat="1" ht="9.75" customHeight="1">
      <c r="A4" s="781"/>
      <c r="B4" s="784"/>
      <c r="C4" s="786"/>
      <c r="D4" s="784"/>
      <c r="E4" s="784"/>
      <c r="F4" s="784"/>
    </row>
    <row r="5" spans="1:8" customFormat="1">
      <c r="A5" s="781"/>
      <c r="B5" s="784"/>
      <c r="C5" s="786"/>
      <c r="D5" s="784"/>
      <c r="E5" s="784"/>
      <c r="F5" s="784"/>
    </row>
    <row r="6" spans="1:8" customFormat="1" ht="32.25" customHeight="1" thickBot="1">
      <c r="A6" s="782"/>
      <c r="B6" s="785"/>
      <c r="C6" s="787"/>
      <c r="D6" s="785"/>
      <c r="E6" s="785"/>
      <c r="F6" s="785"/>
    </row>
    <row r="7" spans="1:8" ht="15.75" customHeight="1">
      <c r="A7" s="282" t="s">
        <v>36</v>
      </c>
      <c r="B7" s="283">
        <f>B8+B10</f>
        <v>40634.400000000009</v>
      </c>
      <c r="C7" s="283">
        <f>C8+C10</f>
        <v>45013.5</v>
      </c>
      <c r="D7" s="283">
        <f>D8+D10</f>
        <v>35686.800000000003</v>
      </c>
      <c r="E7" s="283">
        <f>'1 lentelė'!U115</f>
        <v>32864.300000000003</v>
      </c>
      <c r="F7" s="283">
        <f>'1 lentelė'!V115</f>
        <v>23799.5</v>
      </c>
      <c r="G7" s="9"/>
      <c r="H7" s="98"/>
    </row>
    <row r="8" spans="1:8" ht="15.75" customHeight="1">
      <c r="A8" s="424" t="s">
        <v>37</v>
      </c>
      <c r="B8" s="199">
        <f>SUM('1 lentelė'!J115)</f>
        <v>18916.500000000004</v>
      </c>
      <c r="C8" s="200">
        <f>SUM('1 lentelė'!N115)</f>
        <v>25279.100000000002</v>
      </c>
      <c r="D8" s="284">
        <f>SUM('1 lentelė'!R115)</f>
        <v>18281.600000000002</v>
      </c>
      <c r="E8" s="199"/>
      <c r="F8" s="201"/>
      <c r="G8" s="66"/>
      <c r="H8" s="66"/>
    </row>
    <row r="9" spans="1:8" ht="15.75" customHeight="1">
      <c r="A9" s="423" t="s">
        <v>38</v>
      </c>
      <c r="B9" s="202">
        <f>SUM('1 lentelė'!K115)</f>
        <v>814.8</v>
      </c>
      <c r="C9" s="203">
        <f>SUM('1 lentelė'!O115)</f>
        <v>813.69999999999993</v>
      </c>
      <c r="D9" s="285">
        <f>SUM('1 lentelė'!S115)</f>
        <v>784.2</v>
      </c>
      <c r="E9" s="199"/>
      <c r="F9" s="204"/>
      <c r="G9" s="66"/>
      <c r="H9" s="66"/>
    </row>
    <row r="10" spans="1:8" ht="28.5" customHeight="1" thickBot="1">
      <c r="A10" s="425" t="s">
        <v>24</v>
      </c>
      <c r="B10" s="205">
        <f>SUM('1 lentelė'!L115)</f>
        <v>21717.9</v>
      </c>
      <c r="C10" s="206">
        <f>SUM('1 lentelė'!P115)</f>
        <v>19734.400000000001</v>
      </c>
      <c r="D10" s="286">
        <f>SUM('1 lentelė'!T115)</f>
        <v>17405.2</v>
      </c>
      <c r="E10" s="205"/>
      <c r="F10" s="207"/>
      <c r="G10" s="66"/>
      <c r="H10" s="66"/>
    </row>
    <row r="11" spans="1:8" ht="15.75" customHeight="1">
      <c r="A11" s="282" t="s">
        <v>39</v>
      </c>
      <c r="B11" s="283">
        <f>B12+B18</f>
        <v>40634.400000000009</v>
      </c>
      <c r="C11" s="283">
        <f>C12+C18</f>
        <v>45013.500000000007</v>
      </c>
      <c r="D11" s="283">
        <f>D12+D18</f>
        <v>35686.800000000003</v>
      </c>
      <c r="E11" s="283">
        <f>E12+E18</f>
        <v>32864.300000000003</v>
      </c>
      <c r="F11" s="283">
        <f>F12+F18</f>
        <v>23799.5</v>
      </c>
    </row>
    <row r="12" spans="1:8" ht="15.75" customHeight="1">
      <c r="A12" s="408" t="s">
        <v>40</v>
      </c>
      <c r="B12" s="409">
        <f>SUM(B13:B17)</f>
        <v>21458.000000000004</v>
      </c>
      <c r="C12" s="409">
        <f>SUM(C13:C17)</f>
        <v>29829.400000000005</v>
      </c>
      <c r="D12" s="409">
        <f>SUM(D13:D17)</f>
        <v>20344.300000000003</v>
      </c>
      <c r="E12" s="409">
        <f>SUM(E13:E17)</f>
        <v>23544.399999999998</v>
      </c>
      <c r="F12" s="409">
        <f>SUM(F13:F17)</f>
        <v>22381.5</v>
      </c>
    </row>
    <row r="13" spans="1:8" ht="15.75" customHeight="1">
      <c r="A13" s="31" t="s">
        <v>209</v>
      </c>
      <c r="B13" s="199">
        <f>SUMIF('1 lentelė'!H12:H115,"SB",'1 lentelė'!I12:I115)</f>
        <v>19138.300000000003</v>
      </c>
      <c r="C13" s="199">
        <f>SUMIF('1 lentelė'!H12:H115,"SB",'1 lentelė'!M12:M115)</f>
        <v>27345.100000000002</v>
      </c>
      <c r="D13" s="284">
        <f>SUMIF('1 lentelė'!H12:H115,"SB",'1 lentelė'!Q12:Q115)</f>
        <v>17960</v>
      </c>
      <c r="E13" s="199">
        <f>SUMIF('1 lentelė'!H12:H115,"SB",'1 lentelė'!U12:U115)</f>
        <v>22795.399999999998</v>
      </c>
      <c r="F13" s="199">
        <f>SUMIF('1 lentelė'!H12:H115,"SB",'1 lentelė'!V12:V115)</f>
        <v>22035.399999999998</v>
      </c>
    </row>
    <row r="14" spans="1:8" ht="28.5" customHeight="1">
      <c r="A14" s="31" t="s">
        <v>210</v>
      </c>
      <c r="B14" s="208">
        <f>SUMIF('1 lentelė'!H12:H115,"SB(SP)",'1 lentelė'!I12:I115)</f>
        <v>60.400000000000006</v>
      </c>
      <c r="C14" s="208">
        <f>SUMIF('1 lentelė'!H12:H115,"SB(SP)",'1 lentelė'!M12:M115)</f>
        <v>59.9</v>
      </c>
      <c r="D14" s="285">
        <f>SUMIF('1 lentelė'!H12:H115,"SB(SP)",'1 lentelė'!Q12:Q115)</f>
        <v>59.9</v>
      </c>
      <c r="E14" s="208">
        <f>SUMIF('1 lentelė'!H12:H115,"SB(SP)",'1 lentelė'!U12:U115)</f>
        <v>59.4</v>
      </c>
      <c r="F14" s="208">
        <f>SUMIF('1 lentelė'!H12:H115,"SB(SP)",'1 lentelė'!V12:V115)</f>
        <v>59.4</v>
      </c>
    </row>
    <row r="15" spans="1:8" ht="27.75" customHeight="1">
      <c r="A15" s="31" t="s">
        <v>211</v>
      </c>
      <c r="B15" s="208">
        <f>SUMIF('1 lentelė'!H12:H115,"SB(F)",'1 lentelė'!I12:I115)</f>
        <v>0</v>
      </c>
      <c r="C15" s="208">
        <f>SUMIF('1 lentelė'!H12:H115,"SB(F)",'1 lentelė'!M12:M115)</f>
        <v>222.9</v>
      </c>
      <c r="D15" s="285">
        <f>SUMIF('1 lentelė'!H12:H115,"SB(F)",'1 lentelė'!Q12:Q115)</f>
        <v>222.9</v>
      </c>
      <c r="E15" s="208">
        <f>SUMIF('1 lentelė'!H12:H115,"SB(F)",'1 lentelė'!U12:U115)</f>
        <v>255</v>
      </c>
      <c r="F15" s="208">
        <f>SUMIF('1 lentelė'!H12:H115,"SB(F)",'1 lentelė'!V12:V115)</f>
        <v>0</v>
      </c>
    </row>
    <row r="16" spans="1:8" ht="15.75" customHeight="1">
      <c r="A16" s="31" t="s">
        <v>212</v>
      </c>
      <c r="B16" s="208">
        <f>SUMIF('1 lentelė'!H12:H115,"SB(P)",'1 lentelė'!I12:I115)</f>
        <v>2259.3000000000002</v>
      </c>
      <c r="C16" s="208">
        <f>SUMIF('1 lentelė'!H12:H115,"SB(P)",'1 lentelė'!M12:M115)</f>
        <v>2201.5</v>
      </c>
      <c r="D16" s="285">
        <f>SUMIF('1 lentelė'!H12:H115,"SB(P)",'1 lentelė'!Q12:Q115)</f>
        <v>2101.5</v>
      </c>
      <c r="E16" s="208">
        <f>SUMIF('1 lentelė'!H12:H115,"SB(P)",'1 lentelė'!U12:U115)</f>
        <v>434.6</v>
      </c>
      <c r="F16" s="208">
        <f>SUMIF('1 lentelė'!H12:H115,"SB(P)",'1 lentelė'!V12:V115)</f>
        <v>286.7</v>
      </c>
    </row>
    <row r="17" spans="1:6" ht="28.5" customHeight="1">
      <c r="A17" s="32" t="s">
        <v>208</v>
      </c>
      <c r="B17" s="396">
        <f>SUMIF('1 lentelė'!H12:H115,"PF",'1 lentelė'!I12:I115)</f>
        <v>0</v>
      </c>
      <c r="C17" s="396">
        <f>SUMIF('1 lentelė'!H12:H115,"PF",'1 lentelė'!M12:M115)</f>
        <v>0</v>
      </c>
      <c r="D17" s="397">
        <f>SUMIF('1 lentelė'!H12:H115,"PF",'1 lentelė'!Q12:Q115)</f>
        <v>0</v>
      </c>
      <c r="E17" s="396">
        <f>SUMIF('1 lentelė'!H12:H115,"PF",'1 lentelė'!U12:U115)</f>
        <v>0</v>
      </c>
      <c r="F17" s="396">
        <f>SUMIF('1 lentelė'!H12:H115,"PF",'1 lentelė'!V12:V115)</f>
        <v>0</v>
      </c>
    </row>
    <row r="18" spans="1:6" ht="15.75" customHeight="1">
      <c r="A18" s="410" t="s">
        <v>41</v>
      </c>
      <c r="B18" s="409">
        <f>SUM(B19:B22)</f>
        <v>19176.400000000001</v>
      </c>
      <c r="C18" s="409">
        <f>SUM(C19:C22)</f>
        <v>15184.1</v>
      </c>
      <c r="D18" s="409">
        <f>SUM(D19:D22)</f>
        <v>15342.5</v>
      </c>
      <c r="E18" s="409">
        <f>SUM(E19:E22)</f>
        <v>9319.9000000000015</v>
      </c>
      <c r="F18" s="409">
        <f>SUM(F19:F22)</f>
        <v>1418</v>
      </c>
    </row>
    <row r="19" spans="1:6" ht="15.75" customHeight="1">
      <c r="A19" s="31" t="s">
        <v>51</v>
      </c>
      <c r="B19" s="199">
        <f>SUMIF('1 lentelė'!H12:H115,"ES",'1 lentelė'!I12:I115)</f>
        <v>13228.1</v>
      </c>
      <c r="C19" s="199">
        <f>SUMIF('1 lentelė'!H12:H115,"ES",'1 lentelė'!M12:M115)</f>
        <v>11393.7</v>
      </c>
      <c r="D19" s="284">
        <f>SUMIF('1 lentelė'!H12:H115,"ES",'1 lentelė'!Q12:Q115)</f>
        <v>11393.7</v>
      </c>
      <c r="E19" s="199">
        <f>SUMIF('1 lentelė'!H12:H115,"ES",'1 lentelė'!U12:U115)</f>
        <v>7949.9000000000005</v>
      </c>
      <c r="F19" s="199">
        <f>SUMIF('1 lentelė'!H12:H115,"ES",'1 lentelė'!V12:V115)</f>
        <v>1416</v>
      </c>
    </row>
    <row r="20" spans="1:6" ht="31.5" customHeight="1">
      <c r="A20" s="31" t="s">
        <v>55</v>
      </c>
      <c r="B20" s="208">
        <f>SUMIF('1 lentelė'!H12:H115,"KPP",'1 lentelė'!I12:I115)</f>
        <v>4392.1000000000004</v>
      </c>
      <c r="C20" s="208">
        <f>SUMIF('1 lentelė'!H12:H115,"KPP",'1 lentelė'!M12:M115)</f>
        <v>1200</v>
      </c>
      <c r="D20" s="285">
        <f>SUMIF('1 lentelė'!H12:H115,"KPP",'1 lentelė'!Q12:Q115)</f>
        <v>1288.4000000000001</v>
      </c>
      <c r="E20" s="208">
        <f>SUMIF('1 lentelė'!H12:H115,"KPP",'1 lentelė'!U12:U115)</f>
        <v>0</v>
      </c>
      <c r="F20" s="208">
        <f>SUMIF('1 lentelė'!H12:H115,"KPP",'1 lentelė'!V12:V115)</f>
        <v>0</v>
      </c>
    </row>
    <row r="21" spans="1:6" ht="15.75" customHeight="1">
      <c r="A21" s="33" t="s">
        <v>90</v>
      </c>
      <c r="B21" s="208">
        <f>SUMIF('1 lentelė'!H12:H115,"LRVB",'1 lentelė'!I12:I115)</f>
        <v>1556.2</v>
      </c>
      <c r="C21" s="208">
        <f>SUMIF('1 lentelė'!H12:H115,"LRVB",'1 lentelė'!M12:M115)</f>
        <v>1197.3</v>
      </c>
      <c r="D21" s="285">
        <f>SUMIF('1 lentelė'!H12:H115,"LRVB",'1 lentelė'!Q12:Q115)</f>
        <v>1197.3</v>
      </c>
      <c r="E21" s="208">
        <f>SUMIF('1 lentelė'!H12:H115,"LRVB",'1 lentelė'!U12:U115)</f>
        <v>686.9</v>
      </c>
      <c r="F21" s="208">
        <f>SUMIF('1 lentelė'!H12:H115,"LRVB",'1 lentelė'!V12:V115)</f>
        <v>1</v>
      </c>
    </row>
    <row r="22" spans="1:6" ht="15.75" customHeight="1" thickBot="1">
      <c r="A22" s="74" t="s">
        <v>221</v>
      </c>
      <c r="B22" s="208">
        <f>SUMIF('1 lentelė'!H12:H115,"Kt",'1 lentelė'!I12:I115)</f>
        <v>0</v>
      </c>
      <c r="C22" s="208">
        <f>SUMIF('1 lentelė'!H12:H115,"Kt",'1 lentelė'!M12:M115)</f>
        <v>1393.1</v>
      </c>
      <c r="D22" s="285">
        <f>SUMIF('1 lentelė'!H12:H115,"Kt",'1 lentelė'!Q12:Q115)</f>
        <v>1463.1</v>
      </c>
      <c r="E22" s="208">
        <f>SUMIF('1 lentelė'!H12:H115,"Kt",'1 lentelė'!U12:U115)</f>
        <v>683.1</v>
      </c>
      <c r="F22" s="208">
        <f>SUMIF('1 lentelė'!H12:H115,"Kt",'1 lentelė'!V12:V115)</f>
        <v>1</v>
      </c>
    </row>
    <row r="23" spans="1:6" customFormat="1" ht="15.75" customHeight="1">
      <c r="A23" s="402"/>
      <c r="B23" s="400"/>
      <c r="C23" s="400"/>
      <c r="D23" s="400"/>
      <c r="E23" s="400"/>
      <c r="F23" s="400"/>
    </row>
    <row r="24" spans="1:6" ht="15.75" customHeight="1">
      <c r="A24" s="401"/>
      <c r="B24" s="401"/>
      <c r="C24" s="401"/>
      <c r="D24" s="401"/>
      <c r="E24" s="401"/>
      <c r="F24" s="401"/>
    </row>
    <row r="25" spans="1:6">
      <c r="A25" s="10"/>
    </row>
  </sheetData>
  <mergeCells count="7">
    <mergeCell ref="A1:F1"/>
    <mergeCell ref="A3:A6"/>
    <mergeCell ref="E3:E6"/>
    <mergeCell ref="F3:F6"/>
    <mergeCell ref="B3:B6"/>
    <mergeCell ref="C3:C6"/>
    <mergeCell ref="D3:D6"/>
  </mergeCells>
  <phoneticPr fontId="4" type="noConversion"/>
  <pageMargins left="0.78740157480314965" right="0.35433070866141736" top="0.78740157480314965" bottom="0.78740157480314965" header="0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zoomScale="101" zoomScaleNormal="101" zoomScaleSheetLayoutView="100" workbookViewId="0">
      <selection activeCell="B43" sqref="B43"/>
    </sheetView>
  </sheetViews>
  <sheetFormatPr defaultRowHeight="12.75"/>
  <cols>
    <col min="1" max="1" width="13.7109375" style="13" customWidth="1"/>
    <col min="2" max="2" width="70.7109375" style="13" customWidth="1"/>
    <col min="3" max="3" width="12.7109375" style="13" customWidth="1"/>
    <col min="4" max="4" width="9.7109375" style="13" customWidth="1"/>
    <col min="5" max="7" width="9.7109375" style="414" customWidth="1"/>
    <col min="8" max="16384" width="9.140625" style="13"/>
  </cols>
  <sheetData>
    <row r="1" spans="1:7" ht="15.75" customHeight="1">
      <c r="A1" s="37"/>
      <c r="B1" s="37" t="s">
        <v>62</v>
      </c>
      <c r="C1" s="38"/>
      <c r="D1" s="38"/>
      <c r="E1" s="39"/>
      <c r="F1" s="40"/>
      <c r="G1" s="40" t="s">
        <v>63</v>
      </c>
    </row>
    <row r="2" spans="1:7" ht="27" customHeight="1">
      <c r="A2" s="41"/>
      <c r="B2" s="42" t="s">
        <v>64</v>
      </c>
      <c r="C2" s="43" t="s">
        <v>65</v>
      </c>
      <c r="D2" s="44" t="s">
        <v>8</v>
      </c>
      <c r="E2" s="45"/>
      <c r="F2" s="45"/>
      <c r="G2" s="45"/>
    </row>
    <row r="3" spans="1:7" ht="15.75" customHeight="1">
      <c r="A3" s="41"/>
      <c r="B3" s="46" t="s">
        <v>66</v>
      </c>
      <c r="C3" s="47"/>
      <c r="D3" s="48"/>
      <c r="E3" s="45"/>
      <c r="F3" s="45"/>
      <c r="G3" s="45"/>
    </row>
    <row r="4" spans="1:7" ht="27" customHeight="1">
      <c r="A4" s="41"/>
      <c r="B4" s="42" t="s">
        <v>88</v>
      </c>
      <c r="C4" s="43" t="s">
        <v>65</v>
      </c>
      <c r="D4" s="44" t="s">
        <v>14</v>
      </c>
      <c r="E4" s="45"/>
      <c r="F4" s="45"/>
      <c r="G4" s="45"/>
    </row>
    <row r="5" spans="1:7" ht="15.75" customHeight="1">
      <c r="A5" s="49"/>
      <c r="B5" s="46" t="s">
        <v>67</v>
      </c>
      <c r="C5" s="63"/>
      <c r="D5" s="64"/>
      <c r="E5" s="65"/>
      <c r="F5" s="65"/>
      <c r="G5" s="65"/>
    </row>
    <row r="6" spans="1:7" ht="15.75" customHeight="1">
      <c r="A6" s="50"/>
      <c r="B6" s="51"/>
      <c r="C6" s="55"/>
      <c r="D6" s="51"/>
      <c r="E6" s="55"/>
      <c r="F6" s="55"/>
      <c r="G6" s="55"/>
    </row>
    <row r="7" spans="1:7" ht="18.75" customHeight="1">
      <c r="A7" s="792" t="s">
        <v>68</v>
      </c>
      <c r="B7" s="788" t="s">
        <v>69</v>
      </c>
      <c r="C7" s="788" t="s">
        <v>70</v>
      </c>
      <c r="D7" s="795" t="s">
        <v>150</v>
      </c>
      <c r="E7" s="790" t="s">
        <v>77</v>
      </c>
      <c r="F7" s="788" t="s">
        <v>96</v>
      </c>
      <c r="G7" s="788" t="s">
        <v>149</v>
      </c>
    </row>
    <row r="8" spans="1:7" ht="34.5" customHeight="1">
      <c r="A8" s="793"/>
      <c r="B8" s="788"/>
      <c r="C8" s="794" t="s">
        <v>42</v>
      </c>
      <c r="D8" s="796"/>
      <c r="E8" s="791"/>
      <c r="F8" s="789"/>
      <c r="G8" s="789"/>
    </row>
    <row r="9" spans="1:7" ht="15.75" customHeight="1">
      <c r="A9" s="56" t="s">
        <v>76</v>
      </c>
      <c r="B9" s="265" t="s">
        <v>71</v>
      </c>
      <c r="C9" s="266"/>
      <c r="D9" s="267"/>
      <c r="E9" s="267"/>
      <c r="F9" s="267"/>
      <c r="G9" s="267"/>
    </row>
    <row r="10" spans="1:7" ht="15.75" customHeight="1">
      <c r="A10" s="53"/>
      <c r="B10" s="268" t="s">
        <v>72</v>
      </c>
      <c r="C10" s="269"/>
      <c r="D10" s="270"/>
      <c r="E10" s="270"/>
      <c r="F10" s="270"/>
      <c r="G10" s="270"/>
    </row>
    <row r="11" spans="1:7" ht="15.75" customHeight="1">
      <c r="A11" s="53"/>
      <c r="B11" s="271" t="s">
        <v>202</v>
      </c>
      <c r="C11" s="272" t="s">
        <v>78</v>
      </c>
      <c r="D11" s="273">
        <v>0</v>
      </c>
      <c r="E11" s="273">
        <v>0</v>
      </c>
      <c r="F11" s="273">
        <v>0</v>
      </c>
      <c r="G11" s="273">
        <v>0</v>
      </c>
    </row>
    <row r="12" spans="1:7" ht="15.75" customHeight="1">
      <c r="A12" s="53"/>
      <c r="B12" s="274" t="s">
        <v>203</v>
      </c>
      <c r="C12" s="272" t="s">
        <v>107</v>
      </c>
      <c r="D12" s="273">
        <v>99</v>
      </c>
      <c r="E12" s="273">
        <v>99.2</v>
      </c>
      <c r="F12" s="275">
        <v>99.4</v>
      </c>
      <c r="G12" s="275">
        <v>99.4</v>
      </c>
    </row>
    <row r="13" spans="1:7" ht="27" customHeight="1">
      <c r="A13" s="53"/>
      <c r="B13" s="276" t="s">
        <v>172</v>
      </c>
      <c r="C13" s="272" t="s">
        <v>108</v>
      </c>
      <c r="D13" s="273">
        <v>97.5</v>
      </c>
      <c r="E13" s="273">
        <v>97.8</v>
      </c>
      <c r="F13" s="275">
        <v>97.9</v>
      </c>
      <c r="G13" s="275">
        <v>97.9</v>
      </c>
    </row>
    <row r="14" spans="1:7" ht="15.75" customHeight="1">
      <c r="A14" s="53"/>
      <c r="B14" s="276" t="s">
        <v>169</v>
      </c>
      <c r="C14" s="272" t="s">
        <v>170</v>
      </c>
      <c r="D14" s="273" t="s">
        <v>171</v>
      </c>
      <c r="E14" s="273" t="s">
        <v>171</v>
      </c>
      <c r="F14" s="273" t="s">
        <v>171</v>
      </c>
      <c r="G14" s="273" t="s">
        <v>171</v>
      </c>
    </row>
    <row r="15" spans="1:7" ht="27" customHeight="1">
      <c r="A15" s="53"/>
      <c r="B15" s="276" t="s">
        <v>173</v>
      </c>
      <c r="C15" s="272" t="s">
        <v>175</v>
      </c>
      <c r="D15" s="273">
        <v>574.5</v>
      </c>
      <c r="E15" s="273">
        <v>574.5</v>
      </c>
      <c r="F15" s="273">
        <v>574.5</v>
      </c>
      <c r="G15" s="273">
        <v>574.5</v>
      </c>
    </row>
    <row r="16" spans="1:7" ht="15.75" customHeight="1">
      <c r="A16" s="53"/>
      <c r="B16" s="276" t="s">
        <v>174</v>
      </c>
      <c r="C16" s="272" t="s">
        <v>176</v>
      </c>
      <c r="D16" s="273">
        <v>106</v>
      </c>
      <c r="E16" s="273">
        <v>102</v>
      </c>
      <c r="F16" s="273">
        <v>98</v>
      </c>
      <c r="G16" s="273">
        <v>96</v>
      </c>
    </row>
    <row r="17" spans="1:7" ht="15.75" customHeight="1">
      <c r="A17" s="53"/>
      <c r="B17" s="85" t="s">
        <v>73</v>
      </c>
      <c r="C17" s="81"/>
      <c r="D17" s="84"/>
      <c r="E17" s="83"/>
      <c r="F17" s="82"/>
      <c r="G17" s="82"/>
    </row>
    <row r="18" spans="1:7" ht="15.75" customHeight="1">
      <c r="A18" s="53"/>
      <c r="B18" s="80" t="s">
        <v>72</v>
      </c>
      <c r="C18" s="81"/>
      <c r="D18" s="82"/>
      <c r="E18" s="82"/>
      <c r="F18" s="82"/>
      <c r="G18" s="82"/>
    </row>
    <row r="19" spans="1:7" ht="15.75" customHeight="1">
      <c r="A19" s="53"/>
      <c r="B19" s="86" t="s">
        <v>74</v>
      </c>
      <c r="C19" s="81"/>
      <c r="D19" s="82"/>
      <c r="E19" s="82"/>
      <c r="F19" s="82"/>
      <c r="G19" s="82"/>
    </row>
    <row r="20" spans="1:7" ht="15.75" customHeight="1">
      <c r="A20" s="53"/>
      <c r="B20" s="95" t="s">
        <v>84</v>
      </c>
      <c r="C20" s="82" t="s">
        <v>151</v>
      </c>
      <c r="D20" s="75">
        <v>2056</v>
      </c>
      <c r="E20" s="83">
        <v>2230</v>
      </c>
      <c r="F20" s="83">
        <v>2230</v>
      </c>
      <c r="G20" s="83">
        <v>2230</v>
      </c>
    </row>
    <row r="21" spans="1:7" ht="15.75" customHeight="1">
      <c r="A21" s="52"/>
      <c r="B21" s="96" t="s">
        <v>113</v>
      </c>
      <c r="C21" s="82" t="s">
        <v>152</v>
      </c>
      <c r="D21" s="88">
        <v>10000</v>
      </c>
      <c r="E21" s="88">
        <v>10261</v>
      </c>
      <c r="F21" s="88">
        <v>10261</v>
      </c>
      <c r="G21" s="88">
        <v>10261</v>
      </c>
    </row>
    <row r="22" spans="1:7" ht="15.75" customHeight="1">
      <c r="A22" s="52"/>
      <c r="B22" s="96" t="s">
        <v>86</v>
      </c>
      <c r="C22" s="82" t="s">
        <v>153</v>
      </c>
      <c r="D22" s="83">
        <v>20202</v>
      </c>
      <c r="E22" s="90">
        <v>22547</v>
      </c>
      <c r="F22" s="83">
        <v>22547</v>
      </c>
      <c r="G22" s="83">
        <v>22547</v>
      </c>
    </row>
    <row r="23" spans="1:7" ht="15.75" customHeight="1">
      <c r="A23" s="52"/>
      <c r="B23" s="96" t="s">
        <v>85</v>
      </c>
      <c r="C23" s="82" t="s">
        <v>154</v>
      </c>
      <c r="D23" s="88">
        <v>23338</v>
      </c>
      <c r="E23" s="88">
        <v>23338</v>
      </c>
      <c r="F23" s="88">
        <v>23338</v>
      </c>
      <c r="G23" s="88">
        <v>23338</v>
      </c>
    </row>
    <row r="24" spans="1:7" ht="15.75" customHeight="1">
      <c r="A24" s="52"/>
      <c r="B24" s="97" t="s">
        <v>59</v>
      </c>
      <c r="C24" s="82" t="s">
        <v>155</v>
      </c>
      <c r="D24" s="87" t="s">
        <v>168</v>
      </c>
      <c r="E24" s="87" t="s">
        <v>179</v>
      </c>
      <c r="F24" s="87" t="s">
        <v>179</v>
      </c>
      <c r="G24" s="87" t="s">
        <v>179</v>
      </c>
    </row>
    <row r="25" spans="1:7" ht="15.75" customHeight="1">
      <c r="A25" s="52"/>
      <c r="B25" s="97" t="s">
        <v>16</v>
      </c>
      <c r="C25" s="82" t="s">
        <v>156</v>
      </c>
      <c r="D25" s="87" t="s">
        <v>167</v>
      </c>
      <c r="E25" s="87" t="s">
        <v>180</v>
      </c>
      <c r="F25" s="87" t="s">
        <v>83</v>
      </c>
      <c r="G25" s="87" t="s">
        <v>83</v>
      </c>
    </row>
    <row r="26" spans="1:7" ht="15.75" customHeight="1">
      <c r="A26" s="54"/>
      <c r="B26" s="91" t="s">
        <v>110</v>
      </c>
      <c r="C26" s="82" t="s">
        <v>157</v>
      </c>
      <c r="D26" s="82"/>
      <c r="E26" s="82">
        <v>1765</v>
      </c>
      <c r="F26" s="82">
        <v>1765</v>
      </c>
      <c r="G26" s="82">
        <v>1765</v>
      </c>
    </row>
    <row r="27" spans="1:7" ht="15.75" customHeight="1">
      <c r="A27" s="263"/>
      <c r="B27" s="95" t="s">
        <v>118</v>
      </c>
      <c r="C27" s="82" t="s">
        <v>158</v>
      </c>
      <c r="D27" s="262">
        <v>10.4</v>
      </c>
      <c r="E27" s="262">
        <v>6.8</v>
      </c>
      <c r="F27" s="262">
        <v>6.8</v>
      </c>
      <c r="G27" s="262">
        <v>6.8</v>
      </c>
    </row>
    <row r="28" spans="1:7" ht="15.75" customHeight="1">
      <c r="A28" s="263"/>
      <c r="B28" s="95" t="s">
        <v>27</v>
      </c>
      <c r="C28" s="82" t="s">
        <v>159</v>
      </c>
      <c r="D28" s="83">
        <v>13.7</v>
      </c>
      <c r="E28" s="83">
        <v>13.7</v>
      </c>
      <c r="F28" s="83">
        <v>13.7</v>
      </c>
      <c r="G28" s="83">
        <v>13.7</v>
      </c>
    </row>
    <row r="29" spans="1:7" ht="15.75" customHeight="1">
      <c r="A29" s="100"/>
      <c r="B29" s="277" t="s">
        <v>114</v>
      </c>
      <c r="C29" s="82" t="s">
        <v>160</v>
      </c>
      <c r="D29" s="87"/>
      <c r="E29" s="279" t="s">
        <v>44</v>
      </c>
      <c r="F29" s="3"/>
      <c r="G29" s="3"/>
    </row>
    <row r="30" spans="1:7" ht="15.75" customHeight="1">
      <c r="A30" s="52"/>
      <c r="B30" s="92" t="s">
        <v>147</v>
      </c>
      <c r="C30" s="82"/>
      <c r="D30" s="88"/>
      <c r="E30" s="88">
        <v>2</v>
      </c>
      <c r="F30" s="88"/>
      <c r="G30" s="88"/>
    </row>
    <row r="31" spans="1:7" ht="15.75" customHeight="1">
      <c r="A31" s="52"/>
      <c r="B31" s="86" t="s">
        <v>75</v>
      </c>
      <c r="C31" s="82"/>
      <c r="D31" s="83"/>
      <c r="E31" s="93"/>
      <c r="F31" s="93"/>
      <c r="G31" s="93"/>
    </row>
    <row r="32" spans="1:7" ht="15.75" customHeight="1">
      <c r="A32" s="52"/>
      <c r="B32" s="96" t="s">
        <v>91</v>
      </c>
      <c r="C32" s="82" t="s">
        <v>79</v>
      </c>
      <c r="D32" s="83">
        <v>17</v>
      </c>
      <c r="E32" s="75">
        <v>17</v>
      </c>
      <c r="F32" s="75">
        <v>17</v>
      </c>
      <c r="G32" s="75">
        <v>17</v>
      </c>
    </row>
    <row r="33" spans="1:7" ht="16.5" customHeight="1">
      <c r="A33" s="263"/>
      <c r="B33" s="469" t="s">
        <v>148</v>
      </c>
      <c r="C33" s="82" t="s">
        <v>161</v>
      </c>
      <c r="D33" s="83"/>
      <c r="E33" s="75">
        <f>18.3-18.3</f>
        <v>0</v>
      </c>
      <c r="F33" s="426"/>
      <c r="G33" s="75"/>
    </row>
    <row r="34" spans="1:7" ht="15.75" customHeight="1">
      <c r="A34" s="52"/>
      <c r="B34" s="86" t="s">
        <v>89</v>
      </c>
      <c r="C34" s="82"/>
      <c r="D34" s="83"/>
      <c r="E34" s="93"/>
      <c r="F34" s="93"/>
      <c r="G34" s="93"/>
    </row>
    <row r="35" spans="1:7" ht="15.75" customHeight="1">
      <c r="A35" s="52"/>
      <c r="B35" s="278" t="s">
        <v>204</v>
      </c>
      <c r="C35" s="81" t="s">
        <v>109</v>
      </c>
      <c r="D35" s="83"/>
      <c r="E35" s="93">
        <v>10</v>
      </c>
      <c r="F35" s="93">
        <v>10</v>
      </c>
      <c r="G35" s="93">
        <v>10</v>
      </c>
    </row>
    <row r="36" spans="1:7" ht="15.75" customHeight="1">
      <c r="A36" s="263"/>
      <c r="B36" s="96" t="s">
        <v>178</v>
      </c>
      <c r="C36" s="81" t="s">
        <v>162</v>
      </c>
      <c r="D36" s="88">
        <v>3739</v>
      </c>
      <c r="E36" s="88">
        <v>11147</v>
      </c>
      <c r="F36" s="88">
        <v>11147</v>
      </c>
      <c r="G36" s="88">
        <v>11147</v>
      </c>
    </row>
    <row r="37" spans="1:7" ht="15.75" customHeight="1">
      <c r="A37" s="263"/>
      <c r="B37" s="92" t="s">
        <v>97</v>
      </c>
      <c r="C37" s="81" t="s">
        <v>163</v>
      </c>
      <c r="D37" s="78"/>
      <c r="E37" s="79">
        <v>7</v>
      </c>
      <c r="F37" s="79">
        <v>7</v>
      </c>
      <c r="G37" s="79">
        <v>7</v>
      </c>
    </row>
    <row r="38" spans="1:7" ht="15.75" customHeight="1">
      <c r="A38" s="263"/>
      <c r="B38" s="86" t="s">
        <v>146</v>
      </c>
      <c r="C38" s="78"/>
      <c r="D38" s="78"/>
      <c r="E38" s="79"/>
      <c r="F38" s="79"/>
      <c r="G38" s="79"/>
    </row>
    <row r="39" spans="1:7" ht="15.75" customHeight="1">
      <c r="A39" s="263"/>
      <c r="B39" s="94" t="s">
        <v>57</v>
      </c>
      <c r="C39" s="82" t="s">
        <v>164</v>
      </c>
      <c r="D39" s="93">
        <v>0</v>
      </c>
      <c r="E39" s="83">
        <v>1</v>
      </c>
      <c r="F39" s="82">
        <v>1</v>
      </c>
      <c r="G39" s="82">
        <v>1</v>
      </c>
    </row>
    <row r="40" spans="1:7" ht="15.75" customHeight="1">
      <c r="A40" s="263"/>
      <c r="B40" s="94" t="s">
        <v>81</v>
      </c>
      <c r="C40" s="82" t="s">
        <v>165</v>
      </c>
      <c r="D40" s="93">
        <v>6.63</v>
      </c>
      <c r="E40" s="83">
        <v>1.4</v>
      </c>
      <c r="F40" s="83">
        <v>10.7</v>
      </c>
      <c r="G40" s="83">
        <v>10.7</v>
      </c>
    </row>
    <row r="41" spans="1:7" ht="15.75" customHeight="1">
      <c r="A41" s="263"/>
      <c r="B41" s="94" t="s">
        <v>82</v>
      </c>
      <c r="C41" s="82" t="s">
        <v>166</v>
      </c>
      <c r="D41" s="88">
        <v>5.36</v>
      </c>
      <c r="E41" s="83">
        <f>7.1+0.1</f>
        <v>7.1999999999999993</v>
      </c>
      <c r="F41" s="83">
        <v>15.8</v>
      </c>
      <c r="G41" s="83">
        <v>15.8</v>
      </c>
    </row>
    <row r="42" spans="1:7" ht="15.75" customHeight="1">
      <c r="A42" s="411"/>
      <c r="B42" s="412" t="s">
        <v>217</v>
      </c>
      <c r="C42" s="413" t="s">
        <v>216</v>
      </c>
      <c r="D42" s="89"/>
      <c r="E42" s="264"/>
      <c r="F42" s="264">
        <v>1</v>
      </c>
      <c r="G42" s="264"/>
    </row>
  </sheetData>
  <mergeCells count="7">
    <mergeCell ref="G7:G8"/>
    <mergeCell ref="E7:E8"/>
    <mergeCell ref="F7:F8"/>
    <mergeCell ref="A7:A8"/>
    <mergeCell ref="B7:B8"/>
    <mergeCell ref="C7:C8"/>
    <mergeCell ref="D7:D8"/>
  </mergeCells>
  <phoneticPr fontId="4" type="noConversion"/>
  <printOptions horizontalCentered="1"/>
  <pageMargins left="0.55118110236220474" right="0.55118110236220474" top="0.19685039370078741" bottom="0.19685039370078741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Įvardinti diapazonai</vt:lpstr>
      </vt:variant>
      <vt:variant>
        <vt:i4>3</vt:i4>
      </vt:variant>
    </vt:vector>
  </HeadingPairs>
  <TitlesOfParts>
    <vt:vector size="6" baseType="lpstr">
      <vt:lpstr>1 lentelė</vt:lpstr>
      <vt:lpstr>bendras lėšų poreikis</vt:lpstr>
      <vt:lpstr>vertinimo kriterijai</vt:lpstr>
      <vt:lpstr>'1 lentelė'!Print_Area</vt:lpstr>
      <vt:lpstr>'1 lentelė'!Print_Titles</vt:lpstr>
      <vt:lpstr>'vertinimo kriterijai'!Print_Titles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Snieguole Kacerauskaite</cp:lastModifiedBy>
  <cp:lastPrinted>2012-11-30T12:05:46Z</cp:lastPrinted>
  <dcterms:created xsi:type="dcterms:W3CDTF">2004-04-19T12:01:47Z</dcterms:created>
  <dcterms:modified xsi:type="dcterms:W3CDTF">2012-11-30T12:05:53Z</dcterms:modified>
</cp:coreProperties>
</file>