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Šios_darbaknygės" defaultThemeVersion="124226"/>
  <bookViews>
    <workbookView xWindow="0" yWindow="375" windowWidth="19200" windowHeight="11520" tabRatio="752"/>
  </bookViews>
  <sheets>
    <sheet name="1 lentelė" sheetId="10" r:id="rId1"/>
    <sheet name="bendras lėšų poreikis " sheetId="8" r:id="rId2"/>
    <sheet name="vertinimo kriterijai" sheetId="13" r:id="rId3"/>
  </sheets>
  <definedNames>
    <definedName name="_xlnm.Print_Titles" localSheetId="0">'1 lentelė'!$5:$7</definedName>
    <definedName name="_xlnm.Print_Titles" localSheetId="2">'vertinimo kriterijai'!$8:$9</definedName>
  </definedNames>
  <calcPr calcId="145621"/>
</workbook>
</file>

<file path=xl/calcChain.xml><?xml version="1.0" encoding="utf-8"?>
<calcChain xmlns="http://schemas.openxmlformats.org/spreadsheetml/2006/main">
  <c r="R22" i="10" l="1"/>
  <c r="S22" i="10"/>
  <c r="R43" i="10"/>
  <c r="S43" i="10"/>
  <c r="S32" i="10"/>
  <c r="S25" i="10"/>
  <c r="R25" i="10"/>
  <c r="S46" i="10"/>
  <c r="R46" i="10"/>
  <c r="R32" i="10"/>
  <c r="S19" i="10"/>
  <c r="R19" i="10"/>
  <c r="R33" i="10" l="1"/>
  <c r="R23" i="10"/>
  <c r="R29" i="10" l="1"/>
  <c r="S29" i="10"/>
  <c r="T53" i="10" l="1"/>
  <c r="R31" i="10"/>
  <c r="T60" i="10"/>
  <c r="T54" i="10"/>
  <c r="Q54" i="10" s="1"/>
  <c r="Q52" i="10"/>
  <c r="R14" i="10"/>
  <c r="Q14" i="10" s="1"/>
  <c r="Q51" i="10"/>
  <c r="Q76" i="10" s="1"/>
  <c r="D15" i="8" s="1"/>
  <c r="M51" i="10"/>
  <c r="T63" i="10"/>
  <c r="Q62" i="10"/>
  <c r="Q81" i="10"/>
  <c r="D20" i="8" s="1"/>
  <c r="P54" i="10"/>
  <c r="P66" i="10" s="1"/>
  <c r="Q61" i="10"/>
  <c r="Q80" i="10" s="1"/>
  <c r="D19" i="8" s="1"/>
  <c r="Q63" i="10"/>
  <c r="P63" i="10"/>
  <c r="M63" i="10"/>
  <c r="Q60" i="10"/>
  <c r="M60" i="10"/>
  <c r="M62" i="10"/>
  <c r="M81" i="10"/>
  <c r="C20" i="8" s="1"/>
  <c r="M61" i="10"/>
  <c r="M15" i="10"/>
  <c r="N14" i="10"/>
  <c r="G21" i="13"/>
  <c r="F21" i="13"/>
  <c r="R48" i="10"/>
  <c r="S48" i="10"/>
  <c r="T48" i="10"/>
  <c r="Q47" i="10"/>
  <c r="Q46" i="10"/>
  <c r="R45" i="10"/>
  <c r="S45" i="10"/>
  <c r="T45" i="10"/>
  <c r="Q45" i="10" s="1"/>
  <c r="Q44" i="10"/>
  <c r="Q43" i="10"/>
  <c r="R42" i="10"/>
  <c r="Q42" i="10" s="1"/>
  <c r="Q41" i="10"/>
  <c r="R34" i="10"/>
  <c r="R39" i="10"/>
  <c r="S34" i="10"/>
  <c r="T34" i="10"/>
  <c r="Q33" i="10"/>
  <c r="Q32" i="10"/>
  <c r="S31" i="10"/>
  <c r="T31" i="10"/>
  <c r="Q30" i="10"/>
  <c r="Q29" i="10"/>
  <c r="Q25" i="10"/>
  <c r="Q26" i="10" s="1"/>
  <c r="R24" i="10"/>
  <c r="Q24" i="10" s="1"/>
  <c r="S24" i="10"/>
  <c r="Q23" i="10"/>
  <c r="Q22" i="10"/>
  <c r="R21" i="10"/>
  <c r="Q21" i="10" s="1"/>
  <c r="S21" i="10"/>
  <c r="T21" i="10"/>
  <c r="Q20" i="10"/>
  <c r="Q19" i="10"/>
  <c r="R16" i="10"/>
  <c r="Q16" i="10" s="1"/>
  <c r="R13" i="10"/>
  <c r="Q13" i="10" s="1"/>
  <c r="Q12" i="10"/>
  <c r="Q82" i="10"/>
  <c r="D21" i="8" s="1"/>
  <c r="Q78" i="10"/>
  <c r="D17" i="8" s="1"/>
  <c r="Q53" i="10"/>
  <c r="Q77" i="10"/>
  <c r="D16" i="8" s="1"/>
  <c r="F21" i="8"/>
  <c r="F20" i="8"/>
  <c r="F19" i="8"/>
  <c r="F17" i="8"/>
  <c r="F16" i="8"/>
  <c r="F13" i="8"/>
  <c r="E21" i="8"/>
  <c r="E20" i="8"/>
  <c r="E19" i="8"/>
  <c r="E17" i="8"/>
  <c r="E16" i="8"/>
  <c r="E13" i="8"/>
  <c r="M53" i="10"/>
  <c r="M77" i="10"/>
  <c r="C16" i="8" s="1"/>
  <c r="M82" i="10"/>
  <c r="C21" i="8" s="1"/>
  <c r="N56" i="10"/>
  <c r="N66" i="10" s="1"/>
  <c r="M55" i="10"/>
  <c r="M56" i="10" s="1"/>
  <c r="N33" i="10"/>
  <c r="M33" i="10" s="1"/>
  <c r="N20" i="10"/>
  <c r="M20" i="10" s="1"/>
  <c r="M30" i="10"/>
  <c r="M46" i="10"/>
  <c r="N32" i="10"/>
  <c r="M32" i="10" s="1"/>
  <c r="M19" i="10"/>
  <c r="M21" i="10" s="1"/>
  <c r="M22" i="10"/>
  <c r="N43" i="10"/>
  <c r="M29" i="10"/>
  <c r="M31" i="10" s="1"/>
  <c r="I46" i="10"/>
  <c r="L63" i="10"/>
  <c r="L54" i="10"/>
  <c r="I14" i="10"/>
  <c r="I16" i="10"/>
  <c r="M44" i="10"/>
  <c r="M45" i="10"/>
  <c r="M78" i="10"/>
  <c r="C17" i="8"/>
  <c r="U48" i="10"/>
  <c r="I47" i="10"/>
  <c r="I43" i="10"/>
  <c r="I44" i="10"/>
  <c r="I45" i="10" s="1"/>
  <c r="M35" i="10"/>
  <c r="M36" i="10"/>
  <c r="U33" i="10"/>
  <c r="U34" i="10" s="1"/>
  <c r="V33" i="10"/>
  <c r="V34" i="10" s="1"/>
  <c r="V39" i="10" s="1"/>
  <c r="J33" i="10"/>
  <c r="I33" i="10" s="1"/>
  <c r="I32" i="10"/>
  <c r="I34" i="10" s="1"/>
  <c r="I39" i="10" s="1"/>
  <c r="I29" i="10"/>
  <c r="J30" i="10"/>
  <c r="V30" i="10"/>
  <c r="V31" i="10" s="1"/>
  <c r="U30" i="10"/>
  <c r="U31" i="10" s="1"/>
  <c r="M25" i="10"/>
  <c r="M26" i="10" s="1"/>
  <c r="J25" i="10"/>
  <c r="J26" i="10" s="1"/>
  <c r="J27" i="10" s="1"/>
  <c r="L25" i="10"/>
  <c r="I23" i="10"/>
  <c r="I22" i="10"/>
  <c r="I24" i="10" s="1"/>
  <c r="J20" i="10"/>
  <c r="I20" i="10"/>
  <c r="J19" i="10"/>
  <c r="I19" i="10"/>
  <c r="V23" i="10"/>
  <c r="U23" i="10"/>
  <c r="U24" i="10" s="1"/>
  <c r="O24" i="10"/>
  <c r="K24" i="10"/>
  <c r="J24" i="10"/>
  <c r="V20" i="10"/>
  <c r="U20" i="10"/>
  <c r="P21" i="10"/>
  <c r="O21" i="10"/>
  <c r="K21" i="10"/>
  <c r="I82" i="10"/>
  <c r="B21" i="8"/>
  <c r="I12" i="10"/>
  <c r="I41" i="10"/>
  <c r="I42" i="10" s="1"/>
  <c r="J48" i="10"/>
  <c r="K31" i="10"/>
  <c r="L31" i="10"/>
  <c r="N13" i="10"/>
  <c r="K26" i="10"/>
  <c r="K27" i="10" s="1"/>
  <c r="L26" i="10"/>
  <c r="L27" i="10" s="1"/>
  <c r="N26" i="10"/>
  <c r="O26" i="10"/>
  <c r="P26" i="10"/>
  <c r="P27" i="10" s="1"/>
  <c r="R26" i="10"/>
  <c r="S26" i="10"/>
  <c r="T26" i="10"/>
  <c r="T27" i="10" s="1"/>
  <c r="U26" i="10"/>
  <c r="V26" i="10"/>
  <c r="V27" i="10" s="1"/>
  <c r="M47" i="10"/>
  <c r="M48" i="10"/>
  <c r="M12" i="10"/>
  <c r="M13" i="10"/>
  <c r="M41" i="10"/>
  <c r="M42" i="10"/>
  <c r="I51" i="10"/>
  <c r="I76" i="10"/>
  <c r="B15" i="8" s="1"/>
  <c r="I53" i="10"/>
  <c r="I61" i="10"/>
  <c r="I60" i="10"/>
  <c r="I64" i="10"/>
  <c r="I65" i="10"/>
  <c r="I78" i="10"/>
  <c r="B17" i="8"/>
  <c r="V59" i="10"/>
  <c r="V66" i="10"/>
  <c r="V48" i="10"/>
  <c r="V45" i="10"/>
  <c r="V42" i="10"/>
  <c r="V16" i="10"/>
  <c r="V13" i="10"/>
  <c r="V17" i="10" s="1"/>
  <c r="U59" i="10"/>
  <c r="U66" i="10"/>
  <c r="U45" i="10"/>
  <c r="U42" i="10"/>
  <c r="U38" i="10"/>
  <c r="U16" i="10"/>
  <c r="U17" i="10" s="1"/>
  <c r="U13" i="10"/>
  <c r="P48" i="10"/>
  <c r="P45" i="10"/>
  <c r="P34" i="10"/>
  <c r="P39" i="10" s="1"/>
  <c r="P31" i="10"/>
  <c r="O48" i="10"/>
  <c r="O49" i="10" s="1"/>
  <c r="O67" i="10" s="1"/>
  <c r="O68" i="10" s="1"/>
  <c r="C9" i="8" s="1"/>
  <c r="O45" i="10"/>
  <c r="O34" i="10"/>
  <c r="O39" i="10" s="1"/>
  <c r="O31" i="10"/>
  <c r="N48" i="10"/>
  <c r="N49" i="10" s="1"/>
  <c r="N45" i="10"/>
  <c r="N42" i="10"/>
  <c r="N38" i="10"/>
  <c r="L65" i="10"/>
  <c r="L66" i="10" s="1"/>
  <c r="L67" i="10" s="1"/>
  <c r="L68" i="10" s="1"/>
  <c r="B10" i="8" s="1"/>
  <c r="L45" i="10"/>
  <c r="L49" i="10"/>
  <c r="L34" i="10"/>
  <c r="L39" i="10"/>
  <c r="K48" i="10"/>
  <c r="K45" i="10"/>
  <c r="K49" i="10" s="1"/>
  <c r="K67" i="10" s="1"/>
  <c r="K68" i="10" s="1"/>
  <c r="B9" i="8" s="1"/>
  <c r="K34" i="10"/>
  <c r="J45" i="10"/>
  <c r="J42" i="10"/>
  <c r="J38" i="10"/>
  <c r="J39" i="10" s="1"/>
  <c r="J67" i="10" s="1"/>
  <c r="J68" i="10" s="1"/>
  <c r="B8" i="8" s="1"/>
  <c r="B7" i="8" s="1"/>
  <c r="J16" i="10"/>
  <c r="J13" i="10"/>
  <c r="J17" i="10" s="1"/>
  <c r="I38" i="10"/>
  <c r="M23" i="10"/>
  <c r="N24" i="10"/>
  <c r="N31" i="10"/>
  <c r="J34" i="10"/>
  <c r="I81" i="10"/>
  <c r="B20" i="8"/>
  <c r="M80" i="10"/>
  <c r="C19" i="8" s="1"/>
  <c r="S39" i="10"/>
  <c r="J21" i="10"/>
  <c r="R17" i="10"/>
  <c r="Q17" i="10" s="1"/>
  <c r="M76" i="10"/>
  <c r="C15" i="8" s="1"/>
  <c r="V21" i="10"/>
  <c r="Q75" i="10"/>
  <c r="D14" i="8" s="1"/>
  <c r="T49" i="10"/>
  <c r="K39" i="10"/>
  <c r="I21" i="10"/>
  <c r="M38" i="10"/>
  <c r="I17" i="10"/>
  <c r="J49" i="10"/>
  <c r="M75" i="10"/>
  <c r="C14" i="8" s="1"/>
  <c r="Q31" i="10"/>
  <c r="M34" i="10"/>
  <c r="M39" i="10"/>
  <c r="C18" i="8"/>
  <c r="M54" i="10"/>
  <c r="P49" i="10"/>
  <c r="N34" i="10"/>
  <c r="N39" i="10"/>
  <c r="I54" i="10"/>
  <c r="I77" i="10"/>
  <c r="B16" i="8"/>
  <c r="V24" i="10"/>
  <c r="F14" i="8"/>
  <c r="I30" i="10"/>
  <c r="J31" i="10"/>
  <c r="U49" i="10"/>
  <c r="M66" i="10"/>
  <c r="I80" i="10"/>
  <c r="I63" i="10"/>
  <c r="I66" i="10" s="1"/>
  <c r="M49" i="10"/>
  <c r="O27" i="10"/>
  <c r="I13" i="10"/>
  <c r="I79" i="10"/>
  <c r="B19" i="8"/>
  <c r="B18" i="8"/>
  <c r="I75" i="10"/>
  <c r="B14" i="8" s="1"/>
  <c r="I31" i="10"/>
  <c r="E18" i="8" l="1"/>
  <c r="F18" i="8"/>
  <c r="F12" i="8"/>
  <c r="S49" i="10"/>
  <c r="S27" i="10"/>
  <c r="D18" i="8"/>
  <c r="Q79" i="10"/>
  <c r="P67" i="10"/>
  <c r="P68" i="10" s="1"/>
  <c r="C10" i="8" s="1"/>
  <c r="E14" i="8"/>
  <c r="E12" i="8" s="1"/>
  <c r="E11" i="8" s="1"/>
  <c r="U21" i="10"/>
  <c r="U27" i="10" s="1"/>
  <c r="I48" i="10"/>
  <c r="I49" i="10" s="1"/>
  <c r="Q34" i="10"/>
  <c r="T39" i="10"/>
  <c r="Q39" i="10" s="1"/>
  <c r="N16" i="10"/>
  <c r="M14" i="10"/>
  <c r="M74" i="10" s="1"/>
  <c r="M79" i="10"/>
  <c r="I25" i="10"/>
  <c r="N21" i="10"/>
  <c r="N27" i="10" s="1"/>
  <c r="V49" i="10"/>
  <c r="V67" i="10" s="1"/>
  <c r="V68" i="10" s="1"/>
  <c r="F7" i="8" s="1"/>
  <c r="R27" i="10"/>
  <c r="U39" i="10"/>
  <c r="U67" i="10" s="1"/>
  <c r="U68" i="10" s="1"/>
  <c r="E7" i="8" s="1"/>
  <c r="M24" i="10"/>
  <c r="M27" i="10" s="1"/>
  <c r="Q74" i="10"/>
  <c r="Q48" i="10"/>
  <c r="Q49" i="10" s="1"/>
  <c r="R49" i="10"/>
  <c r="R67" i="10" s="1"/>
  <c r="R68" i="10" s="1"/>
  <c r="D8" i="8" s="1"/>
  <c r="Q66" i="10"/>
  <c r="T66" i="10"/>
  <c r="T67" i="10" s="1"/>
  <c r="T68" i="10" s="1"/>
  <c r="D10" i="8" s="1"/>
  <c r="F11" i="8" l="1"/>
  <c r="S67" i="10"/>
  <c r="S68" i="10" s="1"/>
  <c r="D9" i="8" s="1"/>
  <c r="Q27" i="10"/>
  <c r="N67" i="10"/>
  <c r="N68" i="10" s="1"/>
  <c r="C8" i="8" s="1"/>
  <c r="C7" i="8" s="1"/>
  <c r="D7" i="8"/>
  <c r="Q73" i="10"/>
  <c r="Q83" i="10" s="1"/>
  <c r="D13" i="8"/>
  <c r="D12" i="8" s="1"/>
  <c r="D11" i="8" s="1"/>
  <c r="I26" i="10"/>
  <c r="I27" i="10" s="1"/>
  <c r="I67" i="10" s="1"/>
  <c r="I68" i="10" s="1"/>
  <c r="I74" i="10"/>
  <c r="C13" i="8"/>
  <c r="C12" i="8" s="1"/>
  <c r="C11" i="8" s="1"/>
  <c r="M73" i="10"/>
  <c r="Q67" i="10"/>
  <c r="Q68" i="10" s="1"/>
  <c r="M83" i="10"/>
  <c r="M16" i="10"/>
  <c r="N17" i="10"/>
  <c r="M17" i="10" s="1"/>
  <c r="M67" i="10" s="1"/>
  <c r="M68" i="10" s="1"/>
  <c r="I73" i="10" l="1"/>
  <c r="I83" i="10" s="1"/>
  <c r="B13" i="8"/>
  <c r="B12" i="8" s="1"/>
  <c r="B11" i="8" s="1"/>
</calcChain>
</file>

<file path=xl/comments1.xml><?xml version="1.0" encoding="utf-8"?>
<comments xmlns="http://schemas.openxmlformats.org/spreadsheetml/2006/main">
  <authors>
    <author>S.Kacerauskaite</author>
  </authors>
  <commentList>
    <comment ref="D57" authorId="0">
      <text>
        <r>
          <rPr>
            <sz val="9"/>
            <color indexed="81"/>
            <rFont val="Tahoma"/>
            <family val="2"/>
            <charset val="186"/>
          </rPr>
          <t>2010-07-14 Savivaldybės tarybos kolegijos posėdžio protokolu Nr. TAK-4 nutarta statyti 3000 kv.m pastatą. 
2012 m. bus rengiamas detalus planas.</t>
        </r>
      </text>
    </comment>
  </commentList>
</comments>
</file>

<file path=xl/comments2.xml><?xml version="1.0" encoding="utf-8"?>
<comments xmlns="http://schemas.openxmlformats.org/spreadsheetml/2006/main">
  <authors>
    <author>Snieguole</author>
  </authors>
  <commentList>
    <comment ref="E14" authorId="0">
      <text>
        <r>
          <rPr>
            <sz val="8"/>
            <color indexed="81"/>
            <rFont val="Tahoma"/>
            <family val="2"/>
            <charset val="186"/>
          </rPr>
          <t>Klaipėdos miesto savivaldybės Mažosios Lietuvos istorijos muziejaus saugyklos pastato Didžioji Vandens g. 2  statyba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E34" authorId="0">
      <text>
        <r>
          <rPr>
            <sz val="8"/>
            <color indexed="81"/>
            <rFont val="Tahoma"/>
            <family val="2"/>
            <charset val="186"/>
          </rPr>
          <t>Mažosios Lietuvos muziejaus saugyklos pastatas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<sst xmlns="http://schemas.openxmlformats.org/spreadsheetml/2006/main" count="318" uniqueCount="161">
  <si>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</si>
  <si>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</si>
  <si>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</si>
  <si>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</si>
  <si>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</si>
  <si>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</si>
  <si>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</si>
  <si>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</si>
  <si>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</si>
  <si>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</si>
  <si>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</si>
  <si>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</si>
  <si>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</si>
  <si>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</si>
  <si>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</si>
  <si>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</si>
  <si>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</si>
  <si>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</si>
  <si>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Iš viso programai :</t>
  </si>
  <si>
    <t>Ekonominės klasifikacijos grupės</t>
  </si>
  <si>
    <t>1.2. turtui įsigyti ir finansiniams įsipareigojimams vykdyti</t>
  </si>
  <si>
    <t>Svarbių sukakčių pažymėjimas, žymių žmonių pagerbimas ir atminimo įamžinimas</t>
  </si>
  <si>
    <t>I</t>
  </si>
  <si>
    <t>Finansavimo šaltiniai</t>
  </si>
  <si>
    <t>LRVB</t>
  </si>
  <si>
    <t>1. IŠ VISO LĖŠŲ POREIKIS:</t>
  </si>
  <si>
    <t>2. FINANSAVIMO ŠALTINIAI:</t>
  </si>
  <si>
    <t>2.1. SAVIVALDYBĖS  LĖŠOS, IŠ VISO:</t>
  </si>
  <si>
    <t>2.2. KITI ŠALTINIAI, IŠ VISO:</t>
  </si>
  <si>
    <r>
      <t xml:space="preserve">2.2.1.Europos Sąjungos paramos lėšos </t>
    </r>
    <r>
      <rPr>
        <b/>
        <sz val="10"/>
        <rFont val="Times New Roman"/>
        <family val="1"/>
      </rPr>
      <t>ES</t>
    </r>
  </si>
  <si>
    <t>Pastato K. Donelaičio g. 6B restauravimas</t>
  </si>
  <si>
    <t>P5.2.1.1</t>
  </si>
  <si>
    <t>Kt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</si>
  <si>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</si>
  <si>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</si>
  <si>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</si>
  <si>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</si>
  <si>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</si>
  <si>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</si>
  <si>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Pavadinimas</t>
  </si>
  <si>
    <t>Turtui įsigyti ir finansiniams įsipareigojimams vykdyti</t>
  </si>
  <si>
    <t>Iš jų darbo užmokesčiui</t>
  </si>
  <si>
    <t>SB(SP)</t>
  </si>
  <si>
    <t>ES</t>
  </si>
  <si>
    <t>1.1. išlaidoms, iš jų:</t>
  </si>
  <si>
    <t>1.1.1. darbo užmokesčiui</t>
  </si>
  <si>
    <t>VERTINIMO KRITERIJŲ SUVESTINĖ</t>
  </si>
  <si>
    <t>2 lentelė</t>
  </si>
  <si>
    <t xml:space="preserve">Kodas </t>
  </si>
  <si>
    <t>(Savivaldybės strateginio tikslo pavadinimas)</t>
  </si>
  <si>
    <t>(Programos, skirtos šiam strateginiam tikslui įgyvendinti, pavadinimas)</t>
  </si>
  <si>
    <t>Vertinimo kriterijus</t>
  </si>
  <si>
    <t>Vertinimo kriterijaus kodas</t>
  </si>
  <si>
    <t>2012-ųjų metų planas</t>
  </si>
  <si>
    <t>Rezultato:</t>
  </si>
  <si>
    <t>1-ajam programos tikslui</t>
  </si>
  <si>
    <t>1-ajam uždaviniui</t>
  </si>
  <si>
    <t>Strateginis tikslas 03. Užtikrinti gyventojams aukštą švietimo, kultūros, socialinių, sporto ir sveikatos apsaugos paslaugų kokybę ir prieinamumą</t>
  </si>
  <si>
    <t>UŽTIKRINTI GYVENTOJAMS AUKŠTĄ ŠVIETIMO, KULTŪROS, SOCIALINIŲ, SPORTO IR SVEIKATOS APSAUGOS PASLAUGŲ KOKYBĘ IR PRIEINAMUMĄ</t>
  </si>
  <si>
    <t>Įgyvendinamas įstaigos strateginio tikslo kodas, programos kodas</t>
  </si>
  <si>
    <r>
      <t xml:space="preserve">2.2.2. </t>
    </r>
    <r>
      <rPr>
        <sz val="10"/>
        <rFont val="Times New Roman"/>
        <family val="1"/>
        <charset val="186"/>
      </rPr>
      <t>valstybės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LRVB</t>
    </r>
  </si>
  <si>
    <t>Išsaugoti ir populiarinti  kultūros paveldą bei tradicijas</t>
  </si>
  <si>
    <t>Projektas 2013-iesiems metams</t>
  </si>
  <si>
    <t>2013-ųjų metų planas</t>
  </si>
  <si>
    <t>2-iajam uždaviniui</t>
  </si>
  <si>
    <t>3-ajam uždaviniui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</si>
  <si>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</si>
  <si>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</si>
  <si>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</si>
  <si>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r>
      <t xml:space="preserve">2.2.3. </t>
    </r>
    <r>
      <rPr>
        <sz val="10"/>
        <rFont val="Times New Roman"/>
        <family val="1"/>
        <charset val="186"/>
      </rPr>
      <t>kiti</t>
    </r>
    <r>
      <rPr>
        <sz val="10"/>
        <rFont val="Times New Roman"/>
        <family val="1"/>
      </rPr>
      <t xml:space="preserve"> finansavimo šaltiniai </t>
    </r>
    <r>
      <rPr>
        <b/>
        <sz val="10"/>
        <rFont val="Times New Roman"/>
        <family val="1"/>
      </rPr>
      <t>Kt</t>
    </r>
  </si>
  <si>
    <t>1 lentelės tęsinys</t>
  </si>
  <si>
    <r>
      <t>Programos (Nr.</t>
    </r>
    <r>
      <rPr>
        <b/>
        <sz val="12"/>
        <rFont val="Times New Roman"/>
        <family val="1"/>
        <charset val="186"/>
      </rPr>
      <t xml:space="preserve"> 08) </t>
    </r>
    <r>
      <rPr>
        <b/>
        <sz val="12"/>
        <rFont val="Times New Roman"/>
        <family val="1"/>
      </rPr>
      <t xml:space="preserve"> lėšų  poreikis ir numatomi finansavimo šaltiniai       </t>
    </r>
  </si>
  <si>
    <t xml:space="preserve">08 Miesto kultūrinio savitumo puoselėjimo bei kultūrinių paslaugų gerinimo programa </t>
  </si>
  <si>
    <t xml:space="preserve">Klaipėdos miesto savivaldybės Mažosios Lietuvos istorijos muziejaus saugyklos pastato Didžioji Vandens g. 2  statyba </t>
  </si>
  <si>
    <t>5</t>
  </si>
  <si>
    <t>2</t>
  </si>
  <si>
    <t>03.08</t>
  </si>
  <si>
    <t>Asignavimai 2011-iesiems metams</t>
  </si>
  <si>
    <t>2012-ųjų metų  asignavimų planas</t>
  </si>
  <si>
    <t>46</t>
  </si>
  <si>
    <t>Projektas 2014-iesiems metams</t>
  </si>
  <si>
    <t>2014-ųjų metų planas</t>
  </si>
  <si>
    <t xml:space="preserve">Bibliotekos su  bendruomenės namais statyba 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</si>
  <si>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</si>
  <si>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</si>
  <si>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</si>
  <si>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kultūrų komunikacijų centro veiklos organizavimas</t>
  </si>
  <si>
    <t xml:space="preserve">Užtikrinti kultūros centrų ir koncertinių įstaigų veiklą </t>
  </si>
  <si>
    <t>BĮ Klaipėdos miesto savivaldybės etnokultūros centro veiklos organizavimas</t>
  </si>
  <si>
    <t>R-08-01-01</t>
  </si>
  <si>
    <t>P-08-01-01-01</t>
  </si>
  <si>
    <t>P-08-01-01-02</t>
  </si>
  <si>
    <t>P-08-01-02-01</t>
  </si>
  <si>
    <t>P-08-01-02-02</t>
  </si>
  <si>
    <t>4-ajam uždaviniui</t>
  </si>
  <si>
    <t>P-08-01-03-02</t>
  </si>
  <si>
    <t>P-08-01-03-03</t>
  </si>
  <si>
    <t>P-08-01-03-04</t>
  </si>
  <si>
    <t>P-08-01-04-01</t>
  </si>
  <si>
    <t>P-08-01-04-02</t>
  </si>
  <si>
    <t>P-08-01-04-03</t>
  </si>
  <si>
    <t>P-08-01-04-04</t>
  </si>
  <si>
    <t>Remti kūrybinių organizacijų iniciatyvas ir miesto švenčių organizavimą</t>
  </si>
  <si>
    <t>Atnaujinti kultūros įstaigų patalpas ir statyti naujus kultūros objektus</t>
  </si>
  <si>
    <t>05</t>
  </si>
  <si>
    <t>Lėšų poreikis biudžetiniams 2012-iesiems metams</t>
  </si>
  <si>
    <r>
      <t xml:space="preserve"> 2011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2014 METŲ KLAIPĖDOS MIESTO SAVIVALDYBĖS 
</t>
    </r>
    <r>
      <rPr>
        <b/>
        <sz val="10"/>
        <rFont val="Times New Roman"/>
        <family val="1"/>
        <charset val="186"/>
      </rPr>
      <t>MIESTO KULTŪRINIO SAVITUMO PUOSELĖJIMO BEI KULTŪRINIŲ PASLAUGŲ GERINIMO PROGRAMOS (NR. 08)</t>
    </r>
    <r>
      <rPr>
        <sz val="10"/>
        <rFont val="Times New Roman"/>
        <family val="1"/>
      </rPr>
      <t xml:space="preserve">
</t>
    </r>
  </si>
  <si>
    <t>2013-ųjų metų lėšų poreikis</t>
  </si>
  <si>
    <t>2014-ųjų metų lėšų poreikis</t>
  </si>
  <si>
    <t>5-ajam uždaviniui</t>
  </si>
  <si>
    <t>R-08-01-02</t>
  </si>
  <si>
    <t>P-08-01-05-01</t>
  </si>
  <si>
    <t>BĮ Klaipėdos kultūrų komunikacijų centro administracinio pastato stogo remontas</t>
  </si>
  <si>
    <t>6</t>
  </si>
  <si>
    <t>BĮ Klaipėdos miesto savivaldybės koncertinės įstaigos Klaipėdos koncertų salės veiklos organizavimas</t>
  </si>
  <si>
    <t>Kultūrinių projektų dalinis finansavimas ir vykdymas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</si>
  <si>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</si>
  <si>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</si>
  <si>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Projekto „Didysis gintaro kelias: bendro prekinio ženklo ir naujos tarptautinio turizmo paslaugos kūrimas, III dalis“ įgyvendinimas:</t>
  </si>
  <si>
    <t>Produkto:</t>
  </si>
  <si>
    <t>2010-ųjų metų faktas</t>
  </si>
  <si>
    <t>1. Pastatyta naujų kultūros objektų, sk.</t>
  </si>
  <si>
    <t>R-08-01-03</t>
  </si>
  <si>
    <t xml:space="preserve">1. Surengta koncertų ir kitų kultūros renginių </t>
  </si>
  <si>
    <t xml:space="preserve"> TIKSLŲ, UŽDAVINIŲ, PRIEMONIŲ IR PRIEMONIŲ IŠLAIDŲ SUVESTINĖ</t>
  </si>
  <si>
    <t xml:space="preserve">Miesto švenčių, valstybinių dienų ir kultūrinių renginių organizavimas (įskaitant Klaipėdos miesto 760 metų istorinės sukakties paminėjimą) </t>
  </si>
  <si>
    <t>1. Gyventojų, kurie mieste teikiamas kultūros paslaugas vertina teigiamai, dalis, proc.</t>
  </si>
  <si>
    <t>n.d.</t>
  </si>
  <si>
    <t>augantis</t>
  </si>
  <si>
    <t>2. Organizuotų Švenčių, atmintinų dienų ir istorinių datų minėjimų skaičius</t>
  </si>
  <si>
    <t>2. Kultūros įstaigų renginiuose apsilankiusių žmonių skaičius, tūkst.</t>
  </si>
  <si>
    <t>3. Kultūros įstaigų, įsikūrusių naujai pastatytuose, atnaujintuose pastatuose, skaičius</t>
  </si>
  <si>
    <t xml:space="preserve">2. Meno kolektyvų dalyvių skaičius </t>
  </si>
  <si>
    <t xml:space="preserve">1. Įsigyta naujų dokumentų Viešojoje bibliotekoje, dokumentų vnt. 1000-čiui gyventojų </t>
  </si>
  <si>
    <t>2. Lankytojams skirtų kompiuterizuotų darbo vietų skaičius su prieiga prie interneto skaičius Viešojoje bibliotekoje</t>
  </si>
  <si>
    <t>3. Bibliotekos filialų, kuriuose įdiegta LIBIS skaitytojų aptarnavimo posistemė, skaičius</t>
  </si>
  <si>
    <t>3. Mažosios Lietuvos istorijos muziejuose surengta parodų ir kitų renginių, vnt.</t>
  </si>
  <si>
    <t>4. Etnokultūros centre surengtų renginių skaičius</t>
  </si>
  <si>
    <t>1. Pažymėta svarbių sukakčių, pagerbta ir įamžinta žymių žmonių (atminimo lentelėse)</t>
  </si>
  <si>
    <t>2. Mažosios Lietuvos istorijos muziejuose restauruotų eksponatų skaičius</t>
  </si>
  <si>
    <t>Skatinti miesto bendruomenės kultūrinį ir kūrybinį aktyvumą bei gerinti kultūrinių paslaugų prieinamumą ir kokybę</t>
  </si>
  <si>
    <t>Gerinti viešosios kultūrinės informacijos teikimą gyventojams</t>
  </si>
  <si>
    <t>4. Įgyvendintų projektų skaičius Kultūrų komunikacijų centre</t>
  </si>
  <si>
    <t>P-08-01-03-01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</si>
  <si>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</si>
  <si>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P10</t>
  </si>
  <si>
    <t>Mažosios Lietuvos istorijos muziejaus pastato Didžioji Vandens g. 2 palėpių ir sandėlio kapitalinis remontas</t>
  </si>
  <si>
    <t>SB(VB)</t>
  </si>
  <si>
    <t>KLAIPĖDOS MIESTO SAVIVALDYBĖS KULTŪRINIO SAVITUMO PUOSELĖJIMO BEI KULTŪRINIŲ PASLAUGŲ GERINIMO PROGRAMA (NR. 08)</t>
  </si>
  <si>
    <t>1 lentelė</t>
  </si>
  <si>
    <t>1. Dalinai finansuota projektų nuo gautų paraiškų, proc.</t>
  </si>
  <si>
    <t xml:space="preserve"> BĮ Klaipėdos miesto savivaldybės Mažosios Lietuvos istorijos muziejaus veiklos organizavimas </t>
  </si>
  <si>
    <r>
      <t xml:space="preserve">2.1.1.  savivaldybės biudžeto lėšos </t>
    </r>
    <r>
      <rPr>
        <b/>
        <sz val="10"/>
        <rFont val="Times New Roman"/>
        <family val="1"/>
      </rPr>
      <t>SB</t>
    </r>
  </si>
  <si>
    <r>
      <t xml:space="preserve">2.1.2. 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</si>
  <si>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>2.1.3. Valstybės biudžeto specialiosios tikslinės dotacijos lėšos</t>
    </r>
    <r>
      <rPr>
        <b/>
        <sz val="10"/>
        <rFont val="Times New Roman"/>
        <family val="1"/>
        <charset val="186"/>
      </rPr>
      <t xml:space="preserve"> SB(VB)</t>
    </r>
  </si>
  <si>
    <r>
      <t xml:space="preserve">2.1.4. </t>
    </r>
    <r>
      <rPr>
        <sz val="10"/>
        <rFont val="Times New Roman"/>
        <family val="1"/>
        <charset val="186"/>
      </rPr>
      <t>paskolos</t>
    </r>
    <r>
      <rPr>
        <sz val="10"/>
        <rFont val="Times New Roman"/>
        <family val="1"/>
      </rPr>
      <t xml:space="preserve"> lėšos </t>
    </r>
    <r>
      <rPr>
        <b/>
        <sz val="10"/>
        <rFont val="Times New Roman"/>
        <family val="1"/>
      </rPr>
      <t>SB(P)</t>
    </r>
  </si>
  <si>
    <r>
      <t xml:space="preserve">2.1.5. </t>
    </r>
    <r>
      <rPr>
        <sz val="10"/>
        <rFont val="Times New Roman"/>
        <family val="1"/>
        <charset val="186"/>
      </rPr>
      <t xml:space="preserve"> Savivaldybės privatizavimo fondo lėšos </t>
    </r>
    <r>
      <rPr>
        <b/>
        <sz val="10"/>
        <rFont val="Times New Roman"/>
        <family val="1"/>
        <charset val="186"/>
      </rPr>
      <t>PF</t>
    </r>
  </si>
  <si>
    <t>2012-ųjų  asignavimų planas</t>
  </si>
  <si>
    <t xml:space="preserve">Funkcinės klasifikacijos kodas  </t>
  </si>
  <si>
    <t>Lėšų poreikis biudžetiniams 
2012-iesiems metams</t>
  </si>
  <si>
    <t xml:space="preserve"> - Klaipėdos senamiestyje  sukurta nuolat veikianti gintaro apdirbimo manufaktūra;        
- jau veikiančių KKKC menų-amatų dirbtuvių pritaikymas profesionaliam gintaro apdirbimui;                                            - įsigyta reikiama įranga,                            - organizuoti dizaino mokymai amatininkams,                                              - amatininkų dalyvavimas tarptautinėse parodose, mugėse ir amatų dienose,                    - reklama spaudoje, internete bei projekto kataloguose,                                - dalyvavimas  rezidenciniuose mainuose su projekto partneriais.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</si>
</sst>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Arial"/>
      <family val="2"/>
      <charset val="186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u/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8"/>
      <color indexed="81"/>
      <name val="Tahoma"/>
      <family val="2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702">
    <xf numFmtId="0" fontId="0" fillId="0" borderId="0" xfId="0"/>
    <xf numFmtId="0" fontId="3" fillId="0" borderId="0" xfId="0" applyFont="1"/>
    <xf numFmtId="0" fontId="7" fillId="0" borderId="0" xfId="0" applyFont="1"/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164" fontId="8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13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15" fillId="0" borderId="0" xfId="1" applyFont="1" applyAlignment="1">
      <alignment horizontal="center" vertical="center" wrapText="1"/>
    </xf>
    <xf numFmtId="49" fontId="16" fillId="0" borderId="0" xfId="1" applyNumberFormat="1" applyFont="1" applyAlignment="1" applyProtection="1">
      <alignment horizontal="center" vertical="top"/>
    </xf>
    <xf numFmtId="0" fontId="17" fillId="0" borderId="0" xfId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164" fontId="18" fillId="2" borderId="3" xfId="0" applyNumberFormat="1" applyFont="1" applyFill="1" applyBorder="1" applyAlignment="1">
      <alignment horizontal="center" vertical="top"/>
    </xf>
    <xf numFmtId="0" fontId="20" fillId="0" borderId="0" xfId="0" applyFont="1"/>
    <xf numFmtId="0" fontId="7" fillId="0" borderId="4" xfId="0" applyFont="1" applyBorder="1" applyAlignment="1">
      <alignment horizontal="center" vertical="top"/>
    </xf>
    <xf numFmtId="164" fontId="18" fillId="2" borderId="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right"/>
    </xf>
    <xf numFmtId="164" fontId="7" fillId="0" borderId="0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/>
    <xf numFmtId="0" fontId="1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49" fontId="8" fillId="3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 vertical="top" wrapText="1"/>
    </xf>
    <xf numFmtId="164" fontId="7" fillId="0" borderId="23" xfId="0" applyNumberFormat="1" applyFont="1" applyFill="1" applyBorder="1" applyAlignment="1">
      <alignment horizontal="center" vertical="top" wrapText="1"/>
    </xf>
    <xf numFmtId="164" fontId="7" fillId="0" borderId="24" xfId="0" applyNumberFormat="1" applyFont="1" applyFill="1" applyBorder="1" applyAlignment="1">
      <alignment horizontal="center" vertical="top" wrapText="1"/>
    </xf>
    <xf numFmtId="164" fontId="7" fillId="0" borderId="24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49" fontId="8" fillId="4" borderId="27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 wrapText="1"/>
    </xf>
    <xf numFmtId="164" fontId="7" fillId="0" borderId="30" xfId="0" applyNumberFormat="1" applyFont="1" applyFill="1" applyBorder="1" applyAlignment="1">
      <alignment horizontal="center" vertical="top" wrapText="1"/>
    </xf>
    <xf numFmtId="164" fontId="7" fillId="0" borderId="30" xfId="0" applyNumberFormat="1" applyFont="1" applyFill="1" applyBorder="1" applyAlignment="1">
      <alignment horizontal="center" vertical="top"/>
    </xf>
    <xf numFmtId="164" fontId="7" fillId="0" borderId="31" xfId="0" applyNumberFormat="1" applyFont="1" applyFill="1" applyBorder="1" applyAlignment="1">
      <alignment horizontal="center" vertical="top"/>
    </xf>
    <xf numFmtId="164" fontId="7" fillId="0" borderId="32" xfId="0" applyNumberFormat="1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/>
    </xf>
    <xf numFmtId="164" fontId="7" fillId="0" borderId="35" xfId="0" applyNumberFormat="1" applyFont="1" applyBorder="1" applyAlignment="1">
      <alignment horizontal="center" vertical="top"/>
    </xf>
    <xf numFmtId="164" fontId="7" fillId="5" borderId="36" xfId="0" applyNumberFormat="1" applyFont="1" applyFill="1" applyBorder="1" applyAlignment="1">
      <alignment horizontal="center" vertical="top" wrapText="1"/>
    </xf>
    <xf numFmtId="164" fontId="7" fillId="5" borderId="35" xfId="0" applyNumberFormat="1" applyFont="1" applyFill="1" applyBorder="1" applyAlignment="1">
      <alignment horizontal="center" vertical="top" wrapText="1"/>
    </xf>
    <xf numFmtId="164" fontId="7" fillId="0" borderId="37" xfId="0" applyNumberFormat="1" applyFont="1" applyBorder="1" applyAlignment="1">
      <alignment horizontal="center" vertical="top"/>
    </xf>
    <xf numFmtId="164" fontId="7" fillId="5" borderId="38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164" fontId="7" fillId="0" borderId="39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164" fontId="7" fillId="5" borderId="40" xfId="0" applyNumberFormat="1" applyFont="1" applyFill="1" applyBorder="1" applyAlignment="1">
      <alignment horizontal="center" vertical="top" wrapText="1"/>
    </xf>
    <xf numFmtId="164" fontId="7" fillId="5" borderId="41" xfId="0" applyNumberFormat="1" applyFont="1" applyFill="1" applyBorder="1" applyAlignment="1">
      <alignment horizontal="center" vertical="top" wrapText="1"/>
    </xf>
    <xf numFmtId="164" fontId="7" fillId="0" borderId="41" xfId="0" applyNumberFormat="1" applyFont="1" applyBorder="1" applyAlignment="1">
      <alignment horizontal="center" vertical="top"/>
    </xf>
    <xf numFmtId="164" fontId="7" fillId="0" borderId="42" xfId="0" applyNumberFormat="1" applyFont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164" fontId="7" fillId="0" borderId="34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164" fontId="7" fillId="5" borderId="43" xfId="0" applyNumberFormat="1" applyFont="1" applyFill="1" applyBorder="1" applyAlignment="1">
      <alignment horizontal="center" vertical="top" wrapText="1"/>
    </xf>
    <xf numFmtId="164" fontId="7" fillId="5" borderId="44" xfId="0" applyNumberFormat="1" applyFont="1" applyFill="1" applyBorder="1" applyAlignment="1">
      <alignment horizontal="center" vertical="top" wrapText="1"/>
    </xf>
    <xf numFmtId="164" fontId="7" fillId="0" borderId="44" xfId="0" applyNumberFormat="1" applyFont="1" applyBorder="1" applyAlignment="1">
      <alignment horizontal="center" vertical="top" wrapText="1"/>
    </xf>
    <xf numFmtId="164" fontId="7" fillId="0" borderId="45" xfId="0" applyNumberFormat="1" applyFont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/>
    </xf>
    <xf numFmtId="164" fontId="8" fillId="3" borderId="20" xfId="0" applyNumberFormat="1" applyFont="1" applyFill="1" applyBorder="1" applyAlignment="1">
      <alignment horizontal="center" vertical="top"/>
    </xf>
    <xf numFmtId="164" fontId="7" fillId="0" borderId="47" xfId="0" applyNumberFormat="1" applyFont="1" applyFill="1" applyBorder="1" applyAlignment="1">
      <alignment horizontal="center" vertical="top" wrapText="1"/>
    </xf>
    <xf numFmtId="164" fontId="7" fillId="0" borderId="48" xfId="0" applyNumberFormat="1" applyFont="1" applyFill="1" applyBorder="1" applyAlignment="1">
      <alignment horizontal="center" vertical="top" wrapText="1"/>
    </xf>
    <xf numFmtId="164" fontId="7" fillId="0" borderId="40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 wrapText="1"/>
    </xf>
    <xf numFmtId="164" fontId="7" fillId="0" borderId="41" xfId="0" applyNumberFormat="1" applyFont="1" applyFill="1" applyBorder="1" applyAlignment="1">
      <alignment horizontal="center" vertical="top" wrapText="1"/>
    </xf>
    <xf numFmtId="164" fontId="7" fillId="0" borderId="35" xfId="0" applyNumberFormat="1" applyFont="1" applyFill="1" applyBorder="1" applyAlignment="1">
      <alignment horizontal="center" vertical="top" wrapText="1"/>
    </xf>
    <xf numFmtId="164" fontId="7" fillId="0" borderId="37" xfId="0" applyNumberFormat="1" applyFont="1" applyFill="1" applyBorder="1" applyAlignment="1">
      <alignment horizontal="center" vertical="top" wrapText="1"/>
    </xf>
    <xf numFmtId="164" fontId="7" fillId="0" borderId="43" xfId="0" applyNumberFormat="1" applyFont="1" applyFill="1" applyBorder="1" applyAlignment="1">
      <alignment horizontal="center" vertical="top" wrapText="1"/>
    </xf>
    <xf numFmtId="164" fontId="7" fillId="0" borderId="44" xfId="0" applyNumberFormat="1" applyFont="1" applyFill="1" applyBorder="1" applyAlignment="1">
      <alignment horizontal="center" vertical="top" wrapText="1"/>
    </xf>
    <xf numFmtId="164" fontId="7" fillId="0" borderId="45" xfId="0" applyNumberFormat="1" applyFont="1" applyFill="1" applyBorder="1" applyAlignment="1">
      <alignment horizontal="center" vertical="top" wrapText="1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49" xfId="0" applyNumberFormat="1" applyFont="1" applyFill="1" applyBorder="1" applyAlignment="1">
      <alignment horizontal="center" vertical="top"/>
    </xf>
    <xf numFmtId="164" fontId="8" fillId="4" borderId="50" xfId="0" applyNumberFormat="1" applyFont="1" applyFill="1" applyBorder="1" applyAlignment="1">
      <alignment horizontal="center" vertical="top"/>
    </xf>
    <xf numFmtId="0" fontId="7" fillId="0" borderId="51" xfId="0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164" fontId="7" fillId="5" borderId="6" xfId="0" applyNumberFormat="1" applyFont="1" applyFill="1" applyBorder="1" applyAlignment="1">
      <alignment horizontal="center" vertical="top"/>
    </xf>
    <xf numFmtId="164" fontId="7" fillId="0" borderId="22" xfId="0" applyNumberFormat="1" applyFont="1" applyFill="1" applyBorder="1" applyAlignment="1">
      <alignment horizontal="center" vertical="top"/>
    </xf>
    <xf numFmtId="164" fontId="8" fillId="4" borderId="20" xfId="0" applyNumberFormat="1" applyFont="1" applyFill="1" applyBorder="1" applyAlignment="1">
      <alignment horizontal="center" vertical="top"/>
    </xf>
    <xf numFmtId="164" fontId="8" fillId="4" borderId="52" xfId="0" applyNumberFormat="1" applyFont="1" applyFill="1" applyBorder="1" applyAlignment="1">
      <alignment horizontal="center" vertical="top"/>
    </xf>
    <xf numFmtId="164" fontId="8" fillId="4" borderId="5" xfId="0" applyNumberFormat="1" applyFont="1" applyFill="1" applyBorder="1" applyAlignment="1">
      <alignment horizontal="center" vertical="top"/>
    </xf>
    <xf numFmtId="164" fontId="7" fillId="0" borderId="42" xfId="0" applyNumberFormat="1" applyFont="1" applyFill="1" applyBorder="1" applyAlignment="1">
      <alignment horizontal="center" vertical="top" wrapText="1"/>
    </xf>
    <xf numFmtId="164" fontId="7" fillId="0" borderId="38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7" fillId="0" borderId="16" xfId="0" applyNumberFormat="1" applyFont="1" applyFill="1" applyBorder="1" applyAlignment="1">
      <alignment horizontal="center" vertical="top" wrapText="1"/>
    </xf>
    <xf numFmtId="164" fontId="8" fillId="4" borderId="53" xfId="0" applyNumberFormat="1" applyFont="1" applyFill="1" applyBorder="1" applyAlignment="1">
      <alignment horizontal="center" vertical="top"/>
    </xf>
    <xf numFmtId="164" fontId="8" fillId="4" borderId="27" xfId="0" applyNumberFormat="1" applyFont="1" applyFill="1" applyBorder="1" applyAlignment="1">
      <alignment horizontal="center" vertical="top"/>
    </xf>
    <xf numFmtId="164" fontId="8" fillId="4" borderId="54" xfId="0" applyNumberFormat="1" applyFont="1" applyFill="1" applyBorder="1" applyAlignment="1">
      <alignment horizontal="center" vertical="top"/>
    </xf>
    <xf numFmtId="164" fontId="8" fillId="4" borderId="55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/>
    </xf>
    <xf numFmtId="164" fontId="8" fillId="4" borderId="56" xfId="0" applyNumberFormat="1" applyFont="1" applyFill="1" applyBorder="1" applyAlignment="1">
      <alignment horizontal="center" vertical="top"/>
    </xf>
    <xf numFmtId="49" fontId="8" fillId="3" borderId="57" xfId="0" applyNumberFormat="1" applyFont="1" applyFill="1" applyBorder="1" applyAlignment="1">
      <alignment horizontal="center" vertical="top"/>
    </xf>
    <xf numFmtId="49" fontId="8" fillId="0" borderId="58" xfId="0" applyNumberFormat="1" applyFont="1" applyBorder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top" wrapText="1"/>
    </xf>
    <xf numFmtId="164" fontId="7" fillId="0" borderId="51" xfId="0" applyNumberFormat="1" applyFont="1" applyFill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/>
    </xf>
    <xf numFmtId="0" fontId="7" fillId="0" borderId="49" xfId="0" applyFont="1" applyFill="1" applyBorder="1" applyAlignment="1">
      <alignment horizontal="center" vertical="top" wrapText="1"/>
    </xf>
    <xf numFmtId="49" fontId="8" fillId="0" borderId="41" xfId="0" applyNumberFormat="1" applyFont="1" applyBorder="1" applyAlignment="1">
      <alignment vertical="top"/>
    </xf>
    <xf numFmtId="164" fontId="7" fillId="0" borderId="36" xfId="0" applyNumberFormat="1" applyFont="1" applyFill="1" applyBorder="1" applyAlignment="1">
      <alignment horizontal="center" vertical="top"/>
    </xf>
    <xf numFmtId="0" fontId="7" fillId="0" borderId="48" xfId="0" applyFont="1" applyFill="1" applyBorder="1" applyAlignment="1">
      <alignment horizontal="center" vertical="top" wrapText="1"/>
    </xf>
    <xf numFmtId="164" fontId="7" fillId="0" borderId="23" xfId="0" applyNumberFormat="1" applyFont="1" applyFill="1" applyBorder="1" applyAlignment="1">
      <alignment horizontal="center" vertical="top"/>
    </xf>
    <xf numFmtId="164" fontId="7" fillId="5" borderId="59" xfId="0" applyNumberFormat="1" applyFont="1" applyFill="1" applyBorder="1" applyAlignment="1">
      <alignment horizontal="center" vertical="top"/>
    </xf>
    <xf numFmtId="49" fontId="8" fillId="0" borderId="27" xfId="0" applyNumberFormat="1" applyFont="1" applyBorder="1" applyAlignment="1">
      <alignment vertical="top"/>
    </xf>
    <xf numFmtId="164" fontId="8" fillId="4" borderId="57" xfId="0" applyNumberFormat="1" applyFont="1" applyFill="1" applyBorder="1" applyAlignment="1">
      <alignment horizontal="center" vertical="top"/>
    </xf>
    <xf numFmtId="164" fontId="8" fillId="4" borderId="60" xfId="0" applyNumberFormat="1" applyFont="1" applyFill="1" applyBorder="1" applyAlignment="1">
      <alignment horizontal="center" vertical="top"/>
    </xf>
    <xf numFmtId="164" fontId="8" fillId="4" borderId="61" xfId="0" applyNumberFormat="1" applyFont="1" applyFill="1" applyBorder="1" applyAlignment="1">
      <alignment horizontal="center" vertical="top"/>
    </xf>
    <xf numFmtId="164" fontId="8" fillId="3" borderId="61" xfId="0" applyNumberFormat="1" applyFont="1" applyFill="1" applyBorder="1" applyAlignment="1">
      <alignment horizontal="center" vertical="top"/>
    </xf>
    <xf numFmtId="164" fontId="8" fillId="0" borderId="37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4" fontId="8" fillId="0" borderId="31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164" fontId="8" fillId="4" borderId="14" xfId="0" applyNumberFormat="1" applyFont="1" applyFill="1" applyBorder="1" applyAlignment="1">
      <alignment horizontal="center" vertical="top"/>
    </xf>
    <xf numFmtId="164" fontId="8" fillId="4" borderId="62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63" xfId="0" applyNumberFormat="1" applyFont="1" applyFill="1" applyBorder="1" applyAlignment="1">
      <alignment horizontal="center" vertical="top"/>
    </xf>
    <xf numFmtId="164" fontId="7" fillId="0" borderId="64" xfId="0" applyNumberFormat="1" applyFont="1" applyFill="1" applyBorder="1" applyAlignment="1">
      <alignment horizontal="center" vertical="top"/>
    </xf>
    <xf numFmtId="164" fontId="18" fillId="2" borderId="52" xfId="0" applyNumberFormat="1" applyFont="1" applyFill="1" applyBorder="1" applyAlignment="1">
      <alignment horizontal="center" vertical="top"/>
    </xf>
    <xf numFmtId="49" fontId="8" fillId="3" borderId="47" xfId="0" applyNumberFormat="1" applyFont="1" applyFill="1" applyBorder="1" applyAlignment="1">
      <alignment horizontal="center" vertical="top"/>
    </xf>
    <xf numFmtId="49" fontId="8" fillId="3" borderId="48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vertical="top"/>
    </xf>
    <xf numFmtId="164" fontId="7" fillId="0" borderId="65" xfId="0" applyNumberFormat="1" applyFont="1" applyFill="1" applyBorder="1" applyAlignment="1">
      <alignment horizontal="center" vertical="top"/>
    </xf>
    <xf numFmtId="164" fontId="7" fillId="0" borderId="63" xfId="0" applyNumberFormat="1" applyFont="1" applyFill="1" applyBorder="1" applyAlignment="1">
      <alignment horizontal="center" vertical="top" wrapText="1"/>
    </xf>
    <xf numFmtId="164" fontId="7" fillId="0" borderId="41" xfId="0" applyNumberFormat="1" applyFont="1" applyBorder="1" applyAlignment="1">
      <alignment horizontal="center" vertical="top" wrapText="1"/>
    </xf>
    <xf numFmtId="164" fontId="7" fillId="0" borderId="42" xfId="0" applyNumberFormat="1" applyFont="1" applyBorder="1" applyAlignment="1">
      <alignment horizontal="center" vertical="top" wrapText="1"/>
    </xf>
    <xf numFmtId="164" fontId="8" fillId="3" borderId="66" xfId="0" applyNumberFormat="1" applyFont="1" applyFill="1" applyBorder="1" applyAlignment="1">
      <alignment horizontal="center" vertical="top"/>
    </xf>
    <xf numFmtId="164" fontId="8" fillId="3" borderId="56" xfId="0" applyNumberFormat="1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 wrapText="1"/>
    </xf>
    <xf numFmtId="164" fontId="7" fillId="5" borderId="29" xfId="0" applyNumberFormat="1" applyFont="1" applyFill="1" applyBorder="1" applyAlignment="1">
      <alignment horizontal="center" vertical="top" wrapText="1"/>
    </xf>
    <xf numFmtId="164" fontId="7" fillId="5" borderId="30" xfId="0" applyNumberFormat="1" applyFont="1" applyFill="1" applyBorder="1" applyAlignment="1">
      <alignment horizontal="center" vertical="top" wrapText="1"/>
    </xf>
    <xf numFmtId="164" fontId="7" fillId="0" borderId="30" xfId="0" applyNumberFormat="1" applyFont="1" applyBorder="1" applyAlignment="1">
      <alignment horizontal="center" vertical="top"/>
    </xf>
    <xf numFmtId="164" fontId="7" fillId="0" borderId="31" xfId="0" applyNumberFormat="1" applyFont="1" applyBorder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top" wrapText="1"/>
    </xf>
    <xf numFmtId="164" fontId="7" fillId="0" borderId="64" xfId="0" applyNumberFormat="1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164" fontId="7" fillId="0" borderId="67" xfId="0" applyNumberFormat="1" applyFont="1" applyFill="1" applyBorder="1" applyAlignment="1">
      <alignment horizontal="center" vertical="top" wrapText="1"/>
    </xf>
    <xf numFmtId="164" fontId="7" fillId="5" borderId="67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/>
    </xf>
    <xf numFmtId="0" fontId="7" fillId="0" borderId="32" xfId="0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wrapText="1"/>
    </xf>
    <xf numFmtId="164" fontId="7" fillId="0" borderId="68" xfId="0" applyNumberFormat="1" applyFont="1" applyFill="1" applyBorder="1" applyAlignment="1">
      <alignment horizontal="center" vertical="top"/>
    </xf>
    <xf numFmtId="164" fontId="8" fillId="0" borderId="35" xfId="0" applyNumberFormat="1" applyFont="1" applyFill="1" applyBorder="1" applyAlignment="1">
      <alignment horizontal="center" vertical="top" wrapText="1"/>
    </xf>
    <xf numFmtId="164" fontId="7" fillId="0" borderId="29" xfId="0" applyNumberFormat="1" applyFont="1" applyBorder="1" applyAlignment="1">
      <alignment horizontal="center" vertical="top" wrapText="1"/>
    </xf>
    <xf numFmtId="164" fontId="7" fillId="0" borderId="30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164" fontId="7" fillId="0" borderId="43" xfId="0" applyNumberFormat="1" applyFont="1" applyBorder="1" applyAlignment="1">
      <alignment horizontal="center" vertical="top" wrapText="1"/>
    </xf>
    <xf numFmtId="49" fontId="19" fillId="0" borderId="24" xfId="1" applyNumberFormat="1" applyFont="1" applyFill="1" applyBorder="1" applyAlignment="1">
      <alignment horizontal="center"/>
    </xf>
    <xf numFmtId="0" fontId="18" fillId="0" borderId="59" xfId="1" applyFont="1" applyFill="1" applyBorder="1" applyAlignment="1">
      <alignment horizontal="left" vertical="top" wrapText="1"/>
    </xf>
    <xf numFmtId="0" fontId="19" fillId="0" borderId="6" xfId="1" applyFont="1" applyFill="1" applyBorder="1" applyAlignment="1">
      <alignment horizontal="center" vertical="top"/>
    </xf>
    <xf numFmtId="0" fontId="19" fillId="0" borderId="24" xfId="1" applyFont="1" applyFill="1" applyBorder="1" applyAlignment="1">
      <alignment horizontal="center" vertical="top"/>
    </xf>
    <xf numFmtId="0" fontId="19" fillId="0" borderId="24" xfId="0" applyFont="1" applyFill="1" applyBorder="1"/>
    <xf numFmtId="49" fontId="19" fillId="0" borderId="41" xfId="1" applyNumberFormat="1" applyFont="1" applyFill="1" applyBorder="1" applyAlignment="1">
      <alignment horizontal="right"/>
    </xf>
    <xf numFmtId="0" fontId="23" fillId="0" borderId="33" xfId="1" applyFont="1" applyFill="1" applyBorder="1" applyAlignment="1">
      <alignment horizontal="left" vertical="top" wrapText="1"/>
    </xf>
    <xf numFmtId="0" fontId="19" fillId="0" borderId="0" xfId="1" applyFont="1" applyFill="1" applyBorder="1" applyAlignment="1">
      <alignment horizontal="center" vertical="top"/>
    </xf>
    <xf numFmtId="0" fontId="19" fillId="0" borderId="41" xfId="1" applyFont="1" applyFill="1" applyBorder="1" applyAlignment="1">
      <alignment horizontal="center" vertical="top"/>
    </xf>
    <xf numFmtId="0" fontId="19" fillId="0" borderId="41" xfId="0" applyFont="1" applyFill="1" applyBorder="1"/>
    <xf numFmtId="0" fontId="19" fillId="0" borderId="4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9" fontId="19" fillId="0" borderId="41" xfId="1" applyNumberFormat="1" applyFont="1" applyFill="1" applyBorder="1" applyAlignment="1">
      <alignment horizontal="left"/>
    </xf>
    <xf numFmtId="0" fontId="19" fillId="0" borderId="33" xfId="1" applyFont="1" applyFill="1" applyBorder="1" applyAlignment="1">
      <alignment horizontal="center" vertical="top"/>
    </xf>
    <xf numFmtId="0" fontId="23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 wrapText="1"/>
    </xf>
    <xf numFmtId="0" fontId="19" fillId="0" borderId="41" xfId="1" applyFont="1" applyFill="1" applyBorder="1" applyAlignment="1">
      <alignment horizontal="center"/>
    </xf>
    <xf numFmtId="0" fontId="19" fillId="0" borderId="33" xfId="1" applyFont="1" applyFill="1" applyBorder="1" applyAlignment="1">
      <alignment horizontal="center"/>
    </xf>
    <xf numFmtId="164" fontId="7" fillId="0" borderId="65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58" xfId="0" applyNumberFormat="1" applyFont="1" applyFill="1" applyBorder="1" applyAlignment="1">
      <alignment horizontal="center" vertical="top" wrapText="1"/>
    </xf>
    <xf numFmtId="49" fontId="8" fillId="3" borderId="47" xfId="0" applyNumberFormat="1" applyFont="1" applyFill="1" applyBorder="1" applyAlignment="1">
      <alignment vertical="top"/>
    </xf>
    <xf numFmtId="49" fontId="8" fillId="3" borderId="55" xfId="0" applyNumberFormat="1" applyFont="1" applyFill="1" applyBorder="1" applyAlignment="1">
      <alignment vertical="top"/>
    </xf>
    <xf numFmtId="49" fontId="8" fillId="3" borderId="55" xfId="0" applyNumberFormat="1" applyFont="1" applyFill="1" applyBorder="1" applyAlignment="1">
      <alignment horizontal="center" vertical="top"/>
    </xf>
    <xf numFmtId="49" fontId="8" fillId="3" borderId="48" xfId="0" applyNumberFormat="1" applyFont="1" applyFill="1" applyBorder="1" applyAlignment="1">
      <alignment vertical="top"/>
    </xf>
    <xf numFmtId="164" fontId="8" fillId="4" borderId="13" xfId="0" applyNumberFormat="1" applyFont="1" applyFill="1" applyBorder="1" applyAlignment="1">
      <alignment horizontal="center" vertical="top"/>
    </xf>
    <xf numFmtId="164" fontId="7" fillId="0" borderId="51" xfId="0" applyNumberFormat="1" applyFont="1" applyFill="1" applyBorder="1" applyAlignment="1">
      <alignment horizontal="center" vertical="top"/>
    </xf>
    <xf numFmtId="164" fontId="8" fillId="3" borderId="5" xfId="0" applyNumberFormat="1" applyFont="1" applyFill="1" applyBorder="1" applyAlignment="1">
      <alignment horizontal="center" vertical="top"/>
    </xf>
    <xf numFmtId="164" fontId="7" fillId="0" borderId="38" xfId="0" applyNumberFormat="1" applyFont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/>
    </xf>
    <xf numFmtId="49" fontId="8" fillId="4" borderId="41" xfId="0" applyNumberFormat="1" applyFont="1" applyFill="1" applyBorder="1" applyAlignment="1">
      <alignment horizontal="center" vertical="top"/>
    </xf>
    <xf numFmtId="49" fontId="8" fillId="4" borderId="35" xfId="0" applyNumberFormat="1" applyFont="1" applyFill="1" applyBorder="1" applyAlignment="1">
      <alignment vertical="top"/>
    </xf>
    <xf numFmtId="49" fontId="8" fillId="4" borderId="27" xfId="0" applyNumberFormat="1" applyFont="1" applyFill="1" applyBorder="1" applyAlignment="1">
      <alignment vertical="top"/>
    </xf>
    <xf numFmtId="49" fontId="8" fillId="4" borderId="35" xfId="0" applyNumberFormat="1" applyFont="1" applyFill="1" applyBorder="1" applyAlignment="1">
      <alignment horizontal="center" vertical="top"/>
    </xf>
    <xf numFmtId="49" fontId="8" fillId="4" borderId="52" xfId="0" applyNumberFormat="1" applyFont="1" applyFill="1" applyBorder="1" applyAlignment="1">
      <alignment horizontal="center" vertical="top"/>
    </xf>
    <xf numFmtId="49" fontId="8" fillId="4" borderId="52" xfId="0" applyNumberFormat="1" applyFont="1" applyFill="1" applyBorder="1" applyAlignment="1">
      <alignment horizontal="left" vertical="top"/>
    </xf>
    <xf numFmtId="49" fontId="8" fillId="4" borderId="41" xfId="0" applyNumberFormat="1" applyFont="1" applyFill="1" applyBorder="1" applyAlignment="1">
      <alignment vertical="top"/>
    </xf>
    <xf numFmtId="49" fontId="8" fillId="4" borderId="60" xfId="0" applyNumberFormat="1" applyFont="1" applyFill="1" applyBorder="1" applyAlignment="1">
      <alignment horizontal="center" vertical="top"/>
    </xf>
    <xf numFmtId="164" fontId="18" fillId="2" borderId="60" xfId="0" applyNumberFormat="1" applyFont="1" applyFill="1" applyBorder="1" applyAlignment="1">
      <alignment horizontal="center" vertical="top"/>
    </xf>
    <xf numFmtId="164" fontId="18" fillId="2" borderId="66" xfId="0" applyNumberFormat="1" applyFont="1" applyFill="1" applyBorder="1" applyAlignment="1">
      <alignment horizontal="center" vertical="top"/>
    </xf>
    <xf numFmtId="164" fontId="18" fillId="2" borderId="20" xfId="0" applyNumberFormat="1" applyFont="1" applyFill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164" fontId="18" fillId="2" borderId="61" xfId="0" applyNumberFormat="1" applyFont="1" applyFill="1" applyBorder="1" applyAlignment="1">
      <alignment horizontal="center" vertical="top"/>
    </xf>
    <xf numFmtId="49" fontId="8" fillId="3" borderId="36" xfId="0" applyNumberFormat="1" applyFont="1" applyFill="1" applyBorder="1" applyAlignment="1">
      <alignment horizontal="center" vertical="top"/>
    </xf>
    <xf numFmtId="49" fontId="8" fillId="3" borderId="40" xfId="0" applyNumberFormat="1" applyFont="1" applyFill="1" applyBorder="1" applyAlignment="1">
      <alignment horizontal="center" vertical="top"/>
    </xf>
    <xf numFmtId="49" fontId="8" fillId="3" borderId="53" xfId="0" applyNumberFormat="1" applyFont="1" applyFill="1" applyBorder="1" applyAlignment="1">
      <alignment horizontal="center" vertical="top"/>
    </xf>
    <xf numFmtId="49" fontId="7" fillId="3" borderId="53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69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49" fontId="8" fillId="2" borderId="20" xfId="0" applyNumberFormat="1" applyFont="1" applyFill="1" applyBorder="1" applyAlignment="1">
      <alignment horizontal="center" vertical="top"/>
    </xf>
    <xf numFmtId="49" fontId="7" fillId="0" borderId="51" xfId="0" applyNumberFormat="1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top"/>
    </xf>
    <xf numFmtId="164" fontId="7" fillId="5" borderId="42" xfId="0" applyNumberFormat="1" applyFont="1" applyFill="1" applyBorder="1" applyAlignment="1">
      <alignment horizontal="center" vertical="top" wrapText="1"/>
    </xf>
    <xf numFmtId="49" fontId="8" fillId="4" borderId="70" xfId="0" applyNumberFormat="1" applyFont="1" applyFill="1" applyBorder="1" applyAlignment="1">
      <alignment horizontal="center" vertical="top"/>
    </xf>
    <xf numFmtId="49" fontId="8" fillId="4" borderId="63" xfId="0" applyNumberFormat="1" applyFont="1" applyFill="1" applyBorder="1" applyAlignment="1">
      <alignment horizontal="center" vertical="top"/>
    </xf>
    <xf numFmtId="49" fontId="8" fillId="4" borderId="14" xfId="0" applyNumberFormat="1" applyFont="1" applyFill="1" applyBorder="1" applyAlignment="1">
      <alignment horizontal="center" vertical="top"/>
    </xf>
    <xf numFmtId="49" fontId="8" fillId="4" borderId="71" xfId="0" applyNumberFormat="1" applyFont="1" applyFill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63" xfId="1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 wrapText="1"/>
    </xf>
    <xf numFmtId="164" fontId="7" fillId="0" borderId="39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/>
    </xf>
    <xf numFmtId="164" fontId="2" fillId="0" borderId="47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2" fillId="0" borderId="58" xfId="0" applyNumberFormat="1" applyFont="1" applyFill="1" applyBorder="1" applyAlignment="1">
      <alignment horizontal="center" vertical="top"/>
    </xf>
    <xf numFmtId="164" fontId="2" fillId="0" borderId="37" xfId="0" applyNumberFormat="1" applyFont="1" applyFill="1" applyBorder="1" applyAlignment="1">
      <alignment horizontal="center" vertical="top"/>
    </xf>
    <xf numFmtId="164" fontId="7" fillId="0" borderId="41" xfId="0" applyNumberFormat="1" applyFont="1" applyFill="1" applyBorder="1" applyAlignment="1">
      <alignment horizontal="center" vertical="top"/>
    </xf>
    <xf numFmtId="164" fontId="7" fillId="5" borderId="0" xfId="0" applyNumberFormat="1" applyFont="1" applyFill="1" applyBorder="1" applyAlignment="1">
      <alignment horizontal="center" vertical="top"/>
    </xf>
    <xf numFmtId="164" fontId="7" fillId="0" borderId="0" xfId="0" applyNumberFormat="1" applyFont="1"/>
    <xf numFmtId="0" fontId="18" fillId="0" borderId="0" xfId="0" applyFont="1" applyFill="1" applyBorder="1"/>
    <xf numFmtId="0" fontId="25" fillId="0" borderId="0" xfId="1" applyFont="1" applyFill="1" applyBorder="1" applyAlignment="1">
      <alignment horizontal="center" vertical="top"/>
    </xf>
    <xf numFmtId="0" fontId="17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41" xfId="1" applyFont="1" applyFill="1" applyBorder="1" applyAlignment="1">
      <alignment horizontal="left"/>
    </xf>
    <xf numFmtId="0" fontId="19" fillId="0" borderId="41" xfId="1" applyFont="1" applyFill="1" applyBorder="1" applyAlignment="1">
      <alignment horizontal="left" vertical="top" wrapText="1"/>
    </xf>
    <xf numFmtId="0" fontId="19" fillId="0" borderId="33" xfId="0" applyFont="1" applyFill="1" applyBorder="1"/>
    <xf numFmtId="0" fontId="19" fillId="0" borderId="33" xfId="0" applyFont="1" applyFill="1" applyBorder="1" applyAlignment="1">
      <alignment horizontal="center"/>
    </xf>
    <xf numFmtId="0" fontId="19" fillId="0" borderId="41" xfId="1" applyFont="1" applyFill="1" applyBorder="1" applyAlignment="1">
      <alignment vertical="center"/>
    </xf>
    <xf numFmtId="0" fontId="19" fillId="0" borderId="63" xfId="1" applyFont="1" applyFill="1" applyBorder="1" applyAlignment="1">
      <alignment horizontal="left" vertical="top" wrapText="1"/>
    </xf>
    <xf numFmtId="49" fontId="19" fillId="0" borderId="33" xfId="0" applyNumberFormat="1" applyFont="1" applyFill="1" applyBorder="1" applyAlignment="1">
      <alignment horizontal="left" vertical="top" wrapText="1"/>
    </xf>
    <xf numFmtId="0" fontId="19" fillId="0" borderId="63" xfId="0" applyFont="1" applyFill="1" applyBorder="1" applyAlignment="1">
      <alignment vertical="top" wrapText="1"/>
    </xf>
    <xf numFmtId="0" fontId="19" fillId="0" borderId="63" xfId="0" applyFont="1" applyFill="1" applyBorder="1" applyAlignment="1">
      <alignment wrapText="1"/>
    </xf>
    <xf numFmtId="0" fontId="19" fillId="0" borderId="63" xfId="0" applyFont="1" applyFill="1" applyBorder="1" applyAlignment="1">
      <alignment horizontal="left" vertical="top" wrapText="1"/>
    </xf>
    <xf numFmtId="0" fontId="19" fillId="0" borderId="33" xfId="1" applyFont="1" applyFill="1" applyBorder="1" applyAlignment="1">
      <alignment vertical="center"/>
    </xf>
    <xf numFmtId="49" fontId="19" fillId="0" borderId="33" xfId="1" applyNumberFormat="1" applyFont="1" applyFill="1" applyBorder="1" applyAlignment="1">
      <alignment horizontal="left"/>
    </xf>
    <xf numFmtId="0" fontId="24" fillId="0" borderId="33" xfId="1" applyFont="1" applyFill="1" applyBorder="1" applyAlignment="1">
      <alignment horizontal="left" vertical="top" wrapText="1"/>
    </xf>
    <xf numFmtId="0" fontId="19" fillId="0" borderId="41" xfId="1" applyFont="1" applyFill="1" applyBorder="1" applyAlignment="1">
      <alignment horizontal="center" vertical="center"/>
    </xf>
    <xf numFmtId="0" fontId="19" fillId="0" borderId="33" xfId="1" applyFont="1" applyFill="1" applyBorder="1" applyAlignment="1">
      <alignment horizontal="left" vertical="top" wrapText="1"/>
    </xf>
    <xf numFmtId="0" fontId="19" fillId="0" borderId="33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vertical="top" wrapText="1"/>
    </xf>
    <xf numFmtId="0" fontId="20" fillId="0" borderId="73" xfId="0" applyFont="1" applyBorder="1"/>
    <xf numFmtId="0" fontId="19" fillId="0" borderId="44" xfId="0" applyFont="1" applyFill="1" applyBorder="1" applyAlignment="1">
      <alignment wrapText="1"/>
    </xf>
    <xf numFmtId="0" fontId="19" fillId="0" borderId="44" xfId="1" applyFont="1" applyFill="1" applyBorder="1" applyAlignment="1">
      <alignment horizontal="center" vertical="top"/>
    </xf>
    <xf numFmtId="0" fontId="19" fillId="0" borderId="74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top" wrapText="1"/>
    </xf>
    <xf numFmtId="49" fontId="8" fillId="4" borderId="75" xfId="0" applyNumberFormat="1" applyFont="1" applyFill="1" applyBorder="1" applyAlignment="1">
      <alignment horizontal="center" vertical="top"/>
    </xf>
    <xf numFmtId="49" fontId="19" fillId="0" borderId="33" xfId="0" applyNumberFormat="1" applyFont="1" applyFill="1" applyBorder="1" applyAlignment="1">
      <alignment horizontal="center" vertical="top"/>
    </xf>
    <xf numFmtId="49" fontId="19" fillId="0" borderId="41" xfId="0" applyNumberFormat="1" applyFont="1" applyFill="1" applyBorder="1" applyAlignment="1">
      <alignment horizontal="center" vertical="top"/>
    </xf>
    <xf numFmtId="0" fontId="19" fillId="5" borderId="41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/>
    <xf numFmtId="49" fontId="7" fillId="0" borderId="76" xfId="0" applyNumberFormat="1" applyFont="1" applyBorder="1" applyAlignment="1">
      <alignment horizontal="center" vertical="top" wrapText="1"/>
    </xf>
    <xf numFmtId="49" fontId="7" fillId="0" borderId="64" xfId="0" applyNumberFormat="1" applyFont="1" applyBorder="1" applyAlignment="1">
      <alignment horizontal="center" vertical="top" wrapText="1"/>
    </xf>
    <xf numFmtId="0" fontId="7" fillId="0" borderId="58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0" fontId="1" fillId="7" borderId="77" xfId="0" applyFont="1" applyFill="1" applyBorder="1" applyAlignment="1">
      <alignment horizontal="left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9" fillId="7" borderId="7" xfId="0" applyNumberFormat="1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 wrapText="1"/>
    </xf>
    <xf numFmtId="164" fontId="9" fillId="7" borderId="28" xfId="0" applyNumberFormat="1" applyFont="1" applyFill="1" applyBorder="1" applyAlignment="1">
      <alignment horizontal="center" vertical="center" wrapText="1"/>
    </xf>
    <xf numFmtId="164" fontId="9" fillId="7" borderId="39" xfId="0" applyNumberFormat="1" applyFont="1" applyFill="1" applyBorder="1" applyAlignment="1">
      <alignment horizontal="center" vertical="center" wrapText="1"/>
    </xf>
    <xf numFmtId="164" fontId="9" fillId="7" borderId="74" xfId="0" applyNumberFormat="1" applyFont="1" applyFill="1" applyBorder="1" applyAlignment="1">
      <alignment horizontal="center" vertical="center"/>
    </xf>
    <xf numFmtId="164" fontId="9" fillId="7" borderId="49" xfId="0" applyNumberFormat="1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left" vertical="center" wrapText="1"/>
    </xf>
    <xf numFmtId="164" fontId="4" fillId="7" borderId="32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left" vertical="center" wrapText="1" indent="2"/>
    </xf>
    <xf numFmtId="0" fontId="7" fillId="0" borderId="55" xfId="0" applyFont="1" applyBorder="1" applyAlignment="1">
      <alignment horizontal="left" vertical="center" wrapText="1" indent="2"/>
    </xf>
    <xf numFmtId="0" fontId="2" fillId="0" borderId="77" xfId="0" applyFont="1" applyBorder="1" applyAlignment="1">
      <alignment horizontal="left" vertical="center" wrapText="1" indent="3"/>
    </xf>
    <xf numFmtId="0" fontId="2" fillId="0" borderId="77" xfId="0" applyFont="1" applyBorder="1" applyAlignment="1">
      <alignment horizontal="left" vertical="center" wrapText="1" indent="2"/>
    </xf>
    <xf numFmtId="0" fontId="2" fillId="0" borderId="49" xfId="0" applyFont="1" applyBorder="1" applyAlignment="1">
      <alignment horizontal="left" vertical="center" wrapText="1" indent="2"/>
    </xf>
    <xf numFmtId="0" fontId="2" fillId="0" borderId="55" xfId="0" applyFont="1" applyBorder="1" applyAlignment="1">
      <alignment horizontal="left" vertical="center" wrapText="1" indent="2"/>
    </xf>
    <xf numFmtId="164" fontId="27" fillId="0" borderId="4" xfId="0" applyNumberFormat="1" applyFont="1" applyBorder="1" applyAlignment="1">
      <alignment horizontal="center" vertical="center" wrapText="1"/>
    </xf>
    <xf numFmtId="164" fontId="27" fillId="7" borderId="39" xfId="0" applyNumberFormat="1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right" vertical="top" wrapText="1"/>
    </xf>
    <xf numFmtId="164" fontId="8" fillId="7" borderId="78" xfId="0" applyNumberFormat="1" applyFont="1" applyFill="1" applyBorder="1" applyAlignment="1">
      <alignment horizontal="center" vertical="top"/>
    </xf>
    <xf numFmtId="164" fontId="8" fillId="7" borderId="28" xfId="0" applyNumberFormat="1" applyFont="1" applyFill="1" applyBorder="1" applyAlignment="1">
      <alignment horizontal="center" vertical="top"/>
    </xf>
    <xf numFmtId="0" fontId="8" fillId="7" borderId="22" xfId="0" applyFont="1" applyFill="1" applyBorder="1" applyAlignment="1">
      <alignment horizontal="center" vertical="top" wrapText="1"/>
    </xf>
    <xf numFmtId="164" fontId="8" fillId="7" borderId="23" xfId="0" applyNumberFormat="1" applyFont="1" applyFill="1" applyBorder="1" applyAlignment="1">
      <alignment horizontal="center" vertical="top"/>
    </xf>
    <xf numFmtId="164" fontId="8" fillId="7" borderId="24" xfId="0" applyNumberFormat="1" applyFont="1" applyFill="1" applyBorder="1" applyAlignment="1">
      <alignment horizontal="center" vertical="top"/>
    </xf>
    <xf numFmtId="164" fontId="8" fillId="7" borderId="25" xfId="0" applyNumberFormat="1" applyFont="1" applyFill="1" applyBorder="1" applyAlignment="1">
      <alignment horizontal="center" vertical="top"/>
    </xf>
    <xf numFmtId="164" fontId="8" fillId="7" borderId="6" xfId="0" applyNumberFormat="1" applyFont="1" applyFill="1" applyBorder="1" applyAlignment="1">
      <alignment horizontal="center" vertical="top"/>
    </xf>
    <xf numFmtId="164" fontId="8" fillId="7" borderId="22" xfId="0" applyNumberFormat="1" applyFont="1" applyFill="1" applyBorder="1" applyAlignment="1">
      <alignment horizontal="center" vertical="top"/>
    </xf>
    <xf numFmtId="0" fontId="8" fillId="7" borderId="28" xfId="0" applyFont="1" applyFill="1" applyBorder="1" applyAlignment="1">
      <alignment horizontal="center" vertical="top" wrapText="1"/>
    </xf>
    <xf numFmtId="0" fontId="8" fillId="7" borderId="78" xfId="0" applyFont="1" applyFill="1" applyBorder="1" applyAlignment="1">
      <alignment horizontal="center" vertical="top" wrapText="1"/>
    </xf>
    <xf numFmtId="164" fontId="18" fillId="7" borderId="17" xfId="0" applyNumberFormat="1" applyFont="1" applyFill="1" applyBorder="1" applyAlignment="1">
      <alignment horizontal="center" vertical="top"/>
    </xf>
    <xf numFmtId="164" fontId="7" fillId="7" borderId="36" xfId="0" applyNumberFormat="1" applyFont="1" applyFill="1" applyBorder="1" applyAlignment="1">
      <alignment horizontal="center" vertical="top"/>
    </xf>
    <xf numFmtId="164" fontId="7" fillId="7" borderId="35" xfId="0" applyNumberFormat="1" applyFont="1" applyFill="1" applyBorder="1" applyAlignment="1">
      <alignment horizontal="center" vertical="top"/>
    </xf>
    <xf numFmtId="164" fontId="7" fillId="7" borderId="37" xfId="0" applyNumberFormat="1" applyFont="1" applyFill="1" applyBorder="1" applyAlignment="1">
      <alignment horizontal="center" vertical="top"/>
    </xf>
    <xf numFmtId="164" fontId="7" fillId="7" borderId="36" xfId="0" applyNumberFormat="1" applyFont="1" applyFill="1" applyBorder="1" applyAlignment="1">
      <alignment horizontal="center" vertical="top" wrapText="1"/>
    </xf>
    <xf numFmtId="164" fontId="7" fillId="7" borderId="35" xfId="0" applyNumberFormat="1" applyFont="1" applyFill="1" applyBorder="1" applyAlignment="1">
      <alignment horizontal="center" vertical="top" wrapText="1"/>
    </xf>
    <xf numFmtId="164" fontId="7" fillId="7" borderId="37" xfId="0" applyNumberFormat="1" applyFont="1" applyFill="1" applyBorder="1" applyAlignment="1">
      <alignment horizontal="center" vertical="top" wrapText="1"/>
    </xf>
    <xf numFmtId="164" fontId="7" fillId="7" borderId="38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164" fontId="7" fillId="7" borderId="16" xfId="0" applyNumberFormat="1" applyFont="1" applyFill="1" applyBorder="1" applyAlignment="1">
      <alignment horizontal="center" vertical="top" wrapText="1"/>
    </xf>
    <xf numFmtId="164" fontId="7" fillId="7" borderId="79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horizontal="center" vertical="top"/>
    </xf>
    <xf numFmtId="164" fontId="7" fillId="7" borderId="1" xfId="0" applyNumberFormat="1" applyFont="1" applyFill="1" applyBorder="1" applyAlignment="1">
      <alignment horizontal="center" vertical="top"/>
    </xf>
    <xf numFmtId="164" fontId="7" fillId="7" borderId="2" xfId="0" applyNumberFormat="1" applyFont="1" applyFill="1" applyBorder="1" applyAlignment="1">
      <alignment horizontal="center" vertical="top"/>
    </xf>
    <xf numFmtId="164" fontId="7" fillId="7" borderId="24" xfId="0" applyNumberFormat="1" applyFont="1" applyFill="1" applyBorder="1" applyAlignment="1">
      <alignment horizontal="center" vertical="top"/>
    </xf>
    <xf numFmtId="164" fontId="7" fillId="7" borderId="41" xfId="0" applyNumberFormat="1" applyFont="1" applyFill="1" applyBorder="1" applyAlignment="1">
      <alignment horizontal="center" vertical="top" wrapText="1"/>
    </xf>
    <xf numFmtId="164" fontId="7" fillId="7" borderId="42" xfId="0" applyNumberFormat="1" applyFont="1" applyFill="1" applyBorder="1" applyAlignment="1">
      <alignment horizontal="center" vertical="top" wrapText="1"/>
    </xf>
    <xf numFmtId="164" fontId="7" fillId="7" borderId="38" xfId="0" applyNumberFormat="1" applyFont="1" applyFill="1" applyBorder="1" applyAlignment="1">
      <alignment horizontal="center" vertical="top"/>
    </xf>
    <xf numFmtId="164" fontId="7" fillId="7" borderId="16" xfId="0" applyNumberFormat="1" applyFont="1" applyFill="1" applyBorder="1" applyAlignment="1">
      <alignment horizontal="center" vertical="top"/>
    </xf>
    <xf numFmtId="164" fontId="7" fillId="7" borderId="31" xfId="0" applyNumberFormat="1" applyFont="1" applyFill="1" applyBorder="1" applyAlignment="1">
      <alignment horizontal="center" vertical="top" wrapText="1"/>
    </xf>
    <xf numFmtId="164" fontId="7" fillId="7" borderId="40" xfId="0" applyNumberFormat="1" applyFont="1" applyFill="1" applyBorder="1" applyAlignment="1">
      <alignment horizontal="center" vertical="top"/>
    </xf>
    <xf numFmtId="164" fontId="7" fillId="7" borderId="63" xfId="0" applyNumberFormat="1" applyFont="1" applyFill="1" applyBorder="1" applyAlignment="1">
      <alignment horizontal="center" vertical="top"/>
    </xf>
    <xf numFmtId="164" fontId="7" fillId="7" borderId="64" xfId="0" applyNumberFormat="1" applyFont="1" applyFill="1" applyBorder="1" applyAlignment="1">
      <alignment horizontal="center" vertical="top"/>
    </xf>
    <xf numFmtId="164" fontId="7" fillId="7" borderId="23" xfId="0" applyNumberFormat="1" applyFont="1" applyFill="1" applyBorder="1" applyAlignment="1">
      <alignment horizontal="center" vertical="top"/>
    </xf>
    <xf numFmtId="164" fontId="7" fillId="7" borderId="25" xfId="0" applyNumberFormat="1" applyFont="1" applyFill="1" applyBorder="1" applyAlignment="1">
      <alignment horizontal="center" vertical="top"/>
    </xf>
    <xf numFmtId="164" fontId="7" fillId="7" borderId="41" xfId="0" applyNumberFormat="1" applyFont="1" applyFill="1" applyBorder="1" applyAlignment="1">
      <alignment horizontal="center" vertical="top"/>
    </xf>
    <xf numFmtId="164" fontId="7" fillId="7" borderId="70" xfId="0" applyNumberFormat="1" applyFont="1" applyFill="1" applyBorder="1" applyAlignment="1">
      <alignment horizontal="center" vertical="top" wrapText="1"/>
    </xf>
    <xf numFmtId="164" fontId="7" fillId="7" borderId="65" xfId="0" applyNumberFormat="1" applyFont="1" applyFill="1" applyBorder="1" applyAlignment="1">
      <alignment horizontal="center" vertical="top" wrapText="1"/>
    </xf>
    <xf numFmtId="164" fontId="7" fillId="7" borderId="43" xfId="0" applyNumberFormat="1" applyFont="1" applyFill="1" applyBorder="1" applyAlignment="1">
      <alignment horizontal="center" vertical="top" wrapText="1"/>
    </xf>
    <xf numFmtId="164" fontId="7" fillId="7" borderId="44" xfId="0" applyNumberFormat="1" applyFont="1" applyFill="1" applyBorder="1" applyAlignment="1">
      <alignment horizontal="center" vertical="top" wrapText="1"/>
    </xf>
    <xf numFmtId="164" fontId="7" fillId="7" borderId="45" xfId="0" applyNumberFormat="1" applyFont="1" applyFill="1" applyBorder="1" applyAlignment="1">
      <alignment horizontal="center" vertical="top" wrapText="1"/>
    </xf>
    <xf numFmtId="0" fontId="1" fillId="7" borderId="78" xfId="0" applyFont="1" applyFill="1" applyBorder="1" applyAlignment="1">
      <alignment horizontal="center" vertical="top" wrapText="1"/>
    </xf>
    <xf numFmtId="164" fontId="1" fillId="7" borderId="78" xfId="0" applyNumberFormat="1" applyFont="1" applyFill="1" applyBorder="1" applyAlignment="1">
      <alignment horizontal="center" vertical="top"/>
    </xf>
    <xf numFmtId="164" fontId="1" fillId="7" borderId="17" xfId="0" applyNumberFormat="1" applyFont="1" applyFill="1" applyBorder="1" applyAlignment="1">
      <alignment horizontal="center" vertical="top"/>
    </xf>
    <xf numFmtId="164" fontId="1" fillId="7" borderId="50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7" fillId="7" borderId="65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 wrapText="1"/>
    </xf>
    <xf numFmtId="164" fontId="7" fillId="7" borderId="63" xfId="0" applyNumberFormat="1" applyFont="1" applyFill="1" applyBorder="1" applyAlignment="1">
      <alignment horizontal="center" vertical="top" wrapText="1"/>
    </xf>
    <xf numFmtId="164" fontId="7" fillId="7" borderId="49" xfId="0" applyNumberFormat="1" applyFont="1" applyFill="1" applyBorder="1" applyAlignment="1">
      <alignment horizontal="center" vertical="top" wrapText="1"/>
    </xf>
    <xf numFmtId="164" fontId="7" fillId="7" borderId="48" xfId="0" applyNumberFormat="1" applyFont="1" applyFill="1" applyBorder="1" applyAlignment="1">
      <alignment horizontal="center" vertical="top" wrapText="1"/>
    </xf>
    <xf numFmtId="164" fontId="7" fillId="7" borderId="0" xfId="0" applyNumberFormat="1" applyFont="1" applyFill="1" applyBorder="1" applyAlignment="1">
      <alignment horizontal="center" vertical="top"/>
    </xf>
    <xf numFmtId="164" fontId="7" fillId="7" borderId="42" xfId="0" applyNumberFormat="1" applyFont="1" applyFill="1" applyBorder="1" applyAlignment="1">
      <alignment horizontal="center" vertical="top"/>
    </xf>
    <xf numFmtId="164" fontId="7" fillId="7" borderId="67" xfId="0" applyNumberFormat="1" applyFont="1" applyFill="1" applyBorder="1" applyAlignment="1">
      <alignment horizontal="center" vertical="top"/>
    </xf>
    <xf numFmtId="164" fontId="7" fillId="7" borderId="30" xfId="0" applyNumberFormat="1" applyFont="1" applyFill="1" applyBorder="1" applyAlignment="1">
      <alignment horizontal="center" vertical="top"/>
    </xf>
    <xf numFmtId="164" fontId="7" fillId="7" borderId="31" xfId="0" applyNumberFormat="1" applyFont="1" applyFill="1" applyBorder="1" applyAlignment="1">
      <alignment horizontal="center" vertical="top"/>
    </xf>
    <xf numFmtId="164" fontId="8" fillId="7" borderId="50" xfId="0" applyNumberFormat="1" applyFont="1" applyFill="1" applyBorder="1" applyAlignment="1">
      <alignment horizontal="center" vertical="top"/>
    </xf>
    <xf numFmtId="164" fontId="8" fillId="7" borderId="46" xfId="0" applyNumberFormat="1" applyFont="1" applyFill="1" applyBorder="1" applyAlignment="1">
      <alignment horizontal="center" vertical="top"/>
    </xf>
    <xf numFmtId="164" fontId="8" fillId="7" borderId="71" xfId="0" applyNumberFormat="1" applyFont="1" applyFill="1" applyBorder="1" applyAlignment="1">
      <alignment horizontal="center" vertical="top"/>
    </xf>
    <xf numFmtId="164" fontId="8" fillId="7" borderId="17" xfId="0" applyNumberFormat="1" applyFont="1" applyFill="1" applyBorder="1" applyAlignment="1">
      <alignment horizontal="center" vertical="top"/>
    </xf>
    <xf numFmtId="164" fontId="8" fillId="7" borderId="80" xfId="0" applyNumberFormat="1" applyFont="1" applyFill="1" applyBorder="1" applyAlignment="1">
      <alignment horizontal="center" vertical="top"/>
    </xf>
    <xf numFmtId="164" fontId="8" fillId="7" borderId="19" xfId="0" applyNumberFormat="1" applyFont="1" applyFill="1" applyBorder="1" applyAlignment="1">
      <alignment horizontal="center" vertical="top"/>
    </xf>
    <xf numFmtId="164" fontId="8" fillId="7" borderId="18" xfId="0" applyNumberFormat="1" applyFont="1" applyFill="1" applyBorder="1" applyAlignment="1">
      <alignment horizontal="center" vertical="top"/>
    </xf>
    <xf numFmtId="49" fontId="7" fillId="0" borderId="35" xfId="0" applyNumberFormat="1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/>
    </xf>
    <xf numFmtId="0" fontId="7" fillId="0" borderId="64" xfId="0" applyFont="1" applyBorder="1" applyAlignment="1">
      <alignment horizontal="center" vertical="top"/>
    </xf>
    <xf numFmtId="0" fontId="7" fillId="0" borderId="33" xfId="0" applyFont="1" applyFill="1" applyBorder="1" applyAlignment="1">
      <alignment horizontal="center" vertical="top" wrapText="1"/>
    </xf>
    <xf numFmtId="0" fontId="7" fillId="0" borderId="65" xfId="0" applyFont="1" applyFill="1" applyBorder="1" applyAlignment="1">
      <alignment horizontal="center" vertical="top" wrapText="1"/>
    </xf>
    <xf numFmtId="0" fontId="7" fillId="0" borderId="58" xfId="0" applyNumberFormat="1" applyFont="1" applyBorder="1" applyAlignment="1">
      <alignment horizontal="center" vertical="top"/>
    </xf>
    <xf numFmtId="0" fontId="7" fillId="0" borderId="35" xfId="0" applyFont="1" applyFill="1" applyBorder="1" applyAlignment="1">
      <alignment vertical="top" wrapText="1"/>
    </xf>
    <xf numFmtId="0" fontId="7" fillId="0" borderId="41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7" fillId="0" borderId="75" xfId="0" applyFont="1" applyFill="1" applyBorder="1" applyAlignment="1">
      <alignment vertical="top" wrapText="1"/>
    </xf>
    <xf numFmtId="0" fontId="7" fillId="0" borderId="70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58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49" fontId="7" fillId="0" borderId="76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vertical="top"/>
    </xf>
    <xf numFmtId="49" fontId="7" fillId="0" borderId="35" xfId="0" applyNumberFormat="1" applyFont="1" applyBorder="1" applyAlignment="1">
      <alignment vertical="top"/>
    </xf>
    <xf numFmtId="49" fontId="7" fillId="0" borderId="41" xfId="0" applyNumberFormat="1" applyFont="1" applyBorder="1" applyAlignment="1">
      <alignment vertical="top"/>
    </xf>
    <xf numFmtId="49" fontId="7" fillId="0" borderId="35" xfId="0" applyNumberFormat="1" applyFont="1" applyBorder="1" applyAlignment="1">
      <alignment horizontal="center" vertical="top" wrapText="1"/>
    </xf>
    <xf numFmtId="0" fontId="7" fillId="0" borderId="76" xfId="0" applyNumberFormat="1" applyFont="1" applyBorder="1" applyAlignment="1">
      <alignment horizontal="center" vertical="top"/>
    </xf>
    <xf numFmtId="0" fontId="7" fillId="0" borderId="64" xfId="0" applyNumberFormat="1" applyFont="1" applyBorder="1" applyAlignment="1">
      <alignment horizontal="center" vertical="top"/>
    </xf>
    <xf numFmtId="0" fontId="7" fillId="0" borderId="15" xfId="0" applyNumberFormat="1" applyFont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27" xfId="0" applyNumberFormat="1" applyFont="1" applyBorder="1" applyAlignment="1">
      <alignment horizontal="center" vertical="top" wrapText="1"/>
    </xf>
    <xf numFmtId="0" fontId="7" fillId="0" borderId="64" xfId="0" applyNumberFormat="1" applyFont="1" applyBorder="1" applyAlignment="1">
      <alignment vertical="top"/>
    </xf>
    <xf numFmtId="0" fontId="7" fillId="0" borderId="15" xfId="0" applyNumberFormat="1" applyFont="1" applyBorder="1" applyAlignment="1">
      <alignment vertical="top"/>
    </xf>
    <xf numFmtId="49" fontId="7" fillId="0" borderId="35" xfId="0" applyNumberFormat="1" applyFont="1" applyBorder="1" applyAlignment="1">
      <alignment vertical="top" wrapText="1"/>
    </xf>
    <xf numFmtId="49" fontId="7" fillId="0" borderId="41" xfId="0" applyNumberFormat="1" applyFont="1" applyBorder="1" applyAlignment="1">
      <alignment vertical="top" wrapText="1"/>
    </xf>
    <xf numFmtId="49" fontId="7" fillId="0" borderId="27" xfId="0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49" fontId="7" fillId="0" borderId="76" xfId="0" applyNumberFormat="1" applyFont="1" applyFill="1" applyBorder="1" applyAlignment="1">
      <alignment horizontal="center" vertical="top"/>
    </xf>
    <xf numFmtId="49" fontId="7" fillId="0" borderId="64" xfId="0" applyNumberFormat="1" applyFont="1" applyFill="1" applyBorder="1" applyAlignment="1">
      <alignment horizontal="center" vertical="top"/>
    </xf>
    <xf numFmtId="49" fontId="7" fillId="0" borderId="58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62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49" fontId="7" fillId="0" borderId="41" xfId="0" applyNumberFormat="1" applyFont="1" applyBorder="1" applyAlignment="1">
      <alignment horizontal="center" vertical="top"/>
    </xf>
    <xf numFmtId="49" fontId="7" fillId="0" borderId="27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164" fontId="28" fillId="7" borderId="16" xfId="0" applyNumberFormat="1" applyFont="1" applyFill="1" applyBorder="1" applyAlignment="1">
      <alignment horizontal="center" vertical="top"/>
    </xf>
    <xf numFmtId="164" fontId="8" fillId="4" borderId="66" xfId="0" applyNumberFormat="1" applyFont="1" applyFill="1" applyBorder="1" applyAlignment="1">
      <alignment horizontal="center" vertical="top"/>
    </xf>
    <xf numFmtId="164" fontId="7" fillId="0" borderId="48" xfId="0" applyNumberFormat="1" applyFont="1" applyFill="1" applyBorder="1" applyAlignment="1">
      <alignment horizontal="center" vertical="top"/>
    </xf>
    <xf numFmtId="164" fontId="28" fillId="7" borderId="38" xfId="0" applyNumberFormat="1" applyFont="1" applyFill="1" applyBorder="1" applyAlignment="1">
      <alignment horizontal="center" vertical="top"/>
    </xf>
    <xf numFmtId="164" fontId="28" fillId="7" borderId="1" xfId="0" applyNumberFormat="1" applyFont="1" applyFill="1" applyBorder="1" applyAlignment="1">
      <alignment horizontal="center" vertical="top"/>
    </xf>
    <xf numFmtId="49" fontId="7" fillId="0" borderId="24" xfId="0" applyNumberFormat="1" applyFont="1" applyFill="1" applyBorder="1" applyAlignment="1">
      <alignment horizontal="center" vertical="center" wrapText="1"/>
    </xf>
    <xf numFmtId="164" fontId="28" fillId="7" borderId="47" xfId="0" applyNumberFormat="1" applyFont="1" applyFill="1" applyBorder="1" applyAlignment="1">
      <alignment horizontal="center" vertical="top" wrapText="1"/>
    </xf>
    <xf numFmtId="164" fontId="28" fillId="7" borderId="35" xfId="0" applyNumberFormat="1" applyFont="1" applyFill="1" applyBorder="1" applyAlignment="1">
      <alignment horizontal="center" vertical="top" wrapText="1"/>
    </xf>
    <xf numFmtId="164" fontId="28" fillId="7" borderId="58" xfId="0" applyNumberFormat="1" applyFont="1" applyFill="1" applyBorder="1" applyAlignment="1">
      <alignment horizontal="center" vertical="top"/>
    </xf>
    <xf numFmtId="164" fontId="28" fillId="7" borderId="37" xfId="0" applyNumberFormat="1" applyFont="1" applyFill="1" applyBorder="1" applyAlignment="1">
      <alignment horizontal="center" vertical="top"/>
    </xf>
    <xf numFmtId="49" fontId="8" fillId="4" borderId="41" xfId="0" applyNumberFormat="1" applyFont="1" applyFill="1" applyBorder="1" applyAlignment="1">
      <alignment horizontal="center" vertical="top"/>
    </xf>
    <xf numFmtId="164" fontId="8" fillId="7" borderId="19" xfId="0" applyNumberFormat="1" applyFont="1" applyFill="1" applyBorder="1" applyAlignment="1">
      <alignment horizontal="center" vertical="top"/>
    </xf>
    <xf numFmtId="164" fontId="8" fillId="7" borderId="17" xfId="0" applyNumberFormat="1" applyFont="1" applyFill="1" applyBorder="1" applyAlignment="1">
      <alignment horizontal="center" vertical="top"/>
    </xf>
    <xf numFmtId="164" fontId="8" fillId="7" borderId="1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vertical="top" wrapText="1"/>
    </xf>
    <xf numFmtId="164" fontId="28" fillId="7" borderId="30" xfId="0" applyNumberFormat="1" applyFont="1" applyFill="1" applyBorder="1" applyAlignment="1">
      <alignment horizontal="center" vertical="top" wrapText="1"/>
    </xf>
    <xf numFmtId="164" fontId="8" fillId="0" borderId="58" xfId="0" applyNumberFormat="1" applyFont="1" applyFill="1" applyBorder="1" applyAlignment="1">
      <alignment vertical="top" wrapText="1"/>
    </xf>
    <xf numFmtId="164" fontId="28" fillId="7" borderId="1" xfId="0" applyNumberFormat="1" applyFont="1" applyFill="1" applyBorder="1" applyAlignment="1">
      <alignment horizontal="center" vertical="top" wrapText="1"/>
    </xf>
    <xf numFmtId="164" fontId="28" fillId="7" borderId="41" xfId="0" applyNumberFormat="1" applyFont="1" applyFill="1" applyBorder="1" applyAlignment="1">
      <alignment horizontal="center" vertical="top" wrapText="1"/>
    </xf>
    <xf numFmtId="164" fontId="28" fillId="7" borderId="67" xfId="0" applyNumberFormat="1" applyFont="1" applyFill="1" applyBorder="1" applyAlignment="1">
      <alignment horizontal="center" vertical="top" wrapText="1"/>
    </xf>
    <xf numFmtId="164" fontId="28" fillId="7" borderId="36" xfId="0" applyNumberFormat="1" applyFont="1" applyFill="1" applyBorder="1" applyAlignment="1">
      <alignment horizontal="center" vertical="top" wrapText="1"/>
    </xf>
    <xf numFmtId="164" fontId="28" fillId="7" borderId="40" xfId="0" applyNumberFormat="1" applyFont="1" applyFill="1" applyBorder="1" applyAlignment="1">
      <alignment horizontal="center" vertical="top" wrapText="1"/>
    </xf>
    <xf numFmtId="164" fontId="28" fillId="7" borderId="72" xfId="0" applyNumberFormat="1" applyFont="1" applyFill="1" applyBorder="1" applyAlignment="1">
      <alignment horizontal="center" vertical="top" wrapText="1"/>
    </xf>
    <xf numFmtId="164" fontId="28" fillId="7" borderId="69" xfId="0" applyNumberFormat="1" applyFont="1" applyFill="1" applyBorder="1" applyAlignment="1">
      <alignment horizontal="center" vertical="top" wrapText="1"/>
    </xf>
    <xf numFmtId="0" fontId="30" fillId="0" borderId="34" xfId="0" applyFont="1" applyBorder="1" applyAlignment="1">
      <alignment horizontal="center" vertical="top"/>
    </xf>
    <xf numFmtId="164" fontId="30" fillId="7" borderId="38" xfId="0" applyNumberFormat="1" applyFont="1" applyFill="1" applyBorder="1" applyAlignment="1">
      <alignment horizontal="center" vertical="top"/>
    </xf>
    <xf numFmtId="164" fontId="30" fillId="7" borderId="1" xfId="0" applyNumberFormat="1" applyFont="1" applyFill="1" applyBorder="1" applyAlignment="1">
      <alignment horizontal="center" vertical="top"/>
    </xf>
    <xf numFmtId="164" fontId="30" fillId="7" borderId="16" xfId="0" applyNumberFormat="1" applyFont="1" applyFill="1" applyBorder="1" applyAlignment="1">
      <alignment horizontal="center" vertical="top"/>
    </xf>
    <xf numFmtId="164" fontId="28" fillId="7" borderId="29" xfId="0" applyNumberFormat="1" applyFont="1" applyFill="1" applyBorder="1" applyAlignment="1">
      <alignment horizontal="center" vertical="top" wrapText="1"/>
    </xf>
    <xf numFmtId="49" fontId="8" fillId="4" borderId="75" xfId="0" applyNumberFormat="1" applyFont="1" applyFill="1" applyBorder="1" applyAlignment="1">
      <alignment horizontal="right" vertical="top"/>
    </xf>
    <xf numFmtId="49" fontId="8" fillId="4" borderId="62" xfId="0" applyNumberFormat="1" applyFont="1" applyFill="1" applyBorder="1" applyAlignment="1">
      <alignment horizontal="right" vertical="top"/>
    </xf>
    <xf numFmtId="49" fontId="8" fillId="4" borderId="56" xfId="0" applyNumberFormat="1" applyFont="1" applyFill="1" applyBorder="1" applyAlignment="1">
      <alignment horizontal="right" vertical="top"/>
    </xf>
    <xf numFmtId="49" fontId="8" fillId="4" borderId="61" xfId="0" applyNumberFormat="1" applyFont="1" applyFill="1" applyBorder="1" applyAlignment="1">
      <alignment horizontal="right" vertical="top"/>
    </xf>
    <xf numFmtId="0" fontId="28" fillId="8" borderId="33" xfId="0" applyFont="1" applyFill="1" applyBorder="1" applyAlignment="1">
      <alignment horizontal="left" vertical="top" wrapText="1"/>
    </xf>
    <xf numFmtId="0" fontId="28" fillId="8" borderId="75" xfId="0" applyFont="1" applyFill="1" applyBorder="1" applyAlignment="1">
      <alignment horizontal="left" vertical="top" wrapText="1"/>
    </xf>
    <xf numFmtId="49" fontId="8" fillId="4" borderId="60" xfId="0" applyNumberFormat="1" applyFont="1" applyFill="1" applyBorder="1" applyAlignment="1">
      <alignment horizontal="right" vertical="top"/>
    </xf>
    <xf numFmtId="49" fontId="8" fillId="0" borderId="65" xfId="0" applyNumberFormat="1" applyFont="1" applyBorder="1" applyAlignment="1">
      <alignment horizontal="center" vertical="top"/>
    </xf>
    <xf numFmtId="0" fontId="7" fillId="0" borderId="75" xfId="0" applyFont="1" applyBorder="1" applyAlignment="1">
      <alignment horizontal="center" vertical="top"/>
    </xf>
    <xf numFmtId="0" fontId="28" fillId="8" borderId="35" xfId="0" applyFont="1" applyFill="1" applyBorder="1" applyAlignment="1">
      <alignment horizontal="left" vertical="top" wrapText="1"/>
    </xf>
    <xf numFmtId="0" fontId="28" fillId="8" borderId="41" xfId="0" applyFont="1" applyFill="1" applyBorder="1" applyAlignment="1">
      <alignment horizontal="left" vertical="top" wrapText="1"/>
    </xf>
    <xf numFmtId="0" fontId="28" fillId="8" borderId="27" xfId="0" applyFont="1" applyFill="1" applyBorder="1" applyAlignment="1">
      <alignment horizontal="left" vertical="top" wrapText="1"/>
    </xf>
    <xf numFmtId="49" fontId="8" fillId="4" borderId="60" xfId="0" applyNumberFormat="1" applyFont="1" applyFill="1" applyBorder="1" applyAlignment="1">
      <alignment horizontal="left" vertical="top"/>
    </xf>
    <xf numFmtId="49" fontId="8" fillId="4" borderId="56" xfId="0" applyNumberFormat="1" applyFont="1" applyFill="1" applyBorder="1" applyAlignment="1">
      <alignment horizontal="left" vertical="top"/>
    </xf>
    <xf numFmtId="49" fontId="8" fillId="4" borderId="61" xfId="0" applyNumberFormat="1" applyFont="1" applyFill="1" applyBorder="1" applyAlignment="1">
      <alignment horizontal="left" vertical="top"/>
    </xf>
    <xf numFmtId="0" fontId="7" fillId="8" borderId="65" xfId="0" applyFont="1" applyFill="1" applyBorder="1" applyAlignment="1">
      <alignment horizontal="left" vertical="top" wrapText="1"/>
    </xf>
    <xf numFmtId="0" fontId="7" fillId="8" borderId="33" xfId="0" applyFont="1" applyFill="1" applyBorder="1" applyAlignment="1">
      <alignment horizontal="left" vertical="top" wrapText="1"/>
    </xf>
    <xf numFmtId="0" fontId="7" fillId="8" borderId="75" xfId="0" applyFont="1" applyFill="1" applyBorder="1" applyAlignment="1">
      <alignment horizontal="left" vertical="top" wrapText="1"/>
    </xf>
    <xf numFmtId="0" fontId="28" fillId="8" borderId="65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49" fontId="8" fillId="3" borderId="47" xfId="0" applyNumberFormat="1" applyFont="1" applyFill="1" applyBorder="1" applyAlignment="1">
      <alignment horizontal="center" vertical="top"/>
    </xf>
    <xf numFmtId="49" fontId="8" fillId="3" borderId="55" xfId="0" applyNumberFormat="1" applyFont="1" applyFill="1" applyBorder="1" applyAlignment="1">
      <alignment horizontal="center" vertical="top"/>
    </xf>
    <xf numFmtId="49" fontId="8" fillId="0" borderId="41" xfId="0" applyNumberFormat="1" applyFont="1" applyBorder="1" applyAlignment="1">
      <alignment horizontal="center" vertical="top"/>
    </xf>
    <xf numFmtId="49" fontId="8" fillId="0" borderId="27" xfId="0" applyNumberFormat="1" applyFont="1" applyBorder="1" applyAlignment="1">
      <alignment horizontal="center" vertical="top"/>
    </xf>
    <xf numFmtId="49" fontId="8" fillId="4" borderId="35" xfId="0" applyNumberFormat="1" applyFont="1" applyFill="1" applyBorder="1" applyAlignment="1">
      <alignment horizontal="center" vertical="top"/>
    </xf>
    <xf numFmtId="49" fontId="8" fillId="4" borderId="27" xfId="0" applyNumberFormat="1" applyFont="1" applyFill="1" applyBorder="1" applyAlignment="1">
      <alignment horizontal="center" vertical="top"/>
    </xf>
    <xf numFmtId="49" fontId="8" fillId="4" borderId="41" xfId="0" applyNumberFormat="1" applyFont="1" applyFill="1" applyBorder="1" applyAlignment="1">
      <alignment horizontal="center" vertical="top"/>
    </xf>
    <xf numFmtId="0" fontId="7" fillId="0" borderId="64" xfId="0" applyNumberFormat="1" applyFont="1" applyBorder="1" applyAlignment="1">
      <alignment horizontal="center" vertical="top"/>
    </xf>
    <xf numFmtId="0" fontId="7" fillId="0" borderId="15" xfId="0" applyNumberFormat="1" applyFont="1" applyBorder="1" applyAlignment="1">
      <alignment horizontal="center" vertical="top"/>
    </xf>
    <xf numFmtId="49" fontId="8" fillId="3" borderId="48" xfId="0" applyNumberFormat="1" applyFont="1" applyFill="1" applyBorder="1" applyAlignment="1">
      <alignment horizontal="center" vertical="top"/>
    </xf>
    <xf numFmtId="0" fontId="7" fillId="0" borderId="33" xfId="0" applyFont="1" applyFill="1" applyBorder="1" applyAlignment="1">
      <alignment horizontal="center" vertical="top" wrapText="1"/>
    </xf>
    <xf numFmtId="0" fontId="7" fillId="0" borderId="75" xfId="0" applyFont="1" applyFill="1" applyBorder="1" applyAlignment="1">
      <alignment horizontal="center" vertical="top" wrapText="1"/>
    </xf>
    <xf numFmtId="0" fontId="8" fillId="4" borderId="60" xfId="0" applyFont="1" applyFill="1" applyBorder="1" applyAlignment="1">
      <alignment horizontal="left" vertical="top" wrapText="1"/>
    </xf>
    <xf numFmtId="0" fontId="8" fillId="4" borderId="56" xfId="0" applyFont="1" applyFill="1" applyBorder="1" applyAlignment="1">
      <alignment horizontal="left" vertical="top" wrapText="1"/>
    </xf>
    <xf numFmtId="0" fontId="8" fillId="4" borderId="61" xfId="0" applyFont="1" applyFill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center" vertical="top" wrapText="1"/>
    </xf>
    <xf numFmtId="49" fontId="7" fillId="0" borderId="27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75" xfId="0" applyFont="1" applyBorder="1" applyAlignment="1">
      <alignment horizontal="center" vertical="top" wrapText="1"/>
    </xf>
    <xf numFmtId="49" fontId="8" fillId="0" borderId="63" xfId="0" applyNumberFormat="1" applyFont="1" applyBorder="1" applyAlignment="1">
      <alignment horizontal="center" vertical="top"/>
    </xf>
    <xf numFmtId="0" fontId="7" fillId="0" borderId="6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76" xfId="0" applyNumberFormat="1" applyFont="1" applyBorder="1" applyAlignment="1">
      <alignment horizontal="center" vertical="top"/>
    </xf>
    <xf numFmtId="0" fontId="7" fillId="0" borderId="6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7" fillId="0" borderId="41" xfId="0" applyNumberFormat="1" applyFont="1" applyBorder="1" applyAlignment="1">
      <alignment horizontal="center" vertical="top" wrapText="1"/>
    </xf>
    <xf numFmtId="49" fontId="8" fillId="4" borderId="79" xfId="0" applyNumberFormat="1" applyFont="1" applyFill="1" applyBorder="1" applyAlignment="1">
      <alignment horizontal="center" vertical="top"/>
    </xf>
    <xf numFmtId="49" fontId="8" fillId="4" borderId="33" xfId="0" applyNumberFormat="1" applyFont="1" applyFill="1" applyBorder="1" applyAlignment="1">
      <alignment horizontal="center" vertical="top"/>
    </xf>
    <xf numFmtId="49" fontId="8" fillId="4" borderId="80" xfId="0" applyNumberFormat="1" applyFont="1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54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center" vertical="center" textRotation="90" wrapText="1"/>
    </xf>
    <xf numFmtId="0" fontId="7" fillId="0" borderId="41" xfId="0" applyFont="1" applyFill="1" applyBorder="1" applyAlignment="1">
      <alignment horizontal="center" vertical="center" textRotation="90" wrapText="1"/>
    </xf>
    <xf numFmtId="49" fontId="8" fillId="0" borderId="30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center" vertical="top"/>
    </xf>
    <xf numFmtId="49" fontId="7" fillId="0" borderId="79" xfId="0" applyNumberFormat="1" applyFont="1" applyFill="1" applyBorder="1" applyAlignment="1">
      <alignment horizontal="left" vertical="top" wrapText="1"/>
    </xf>
    <xf numFmtId="49" fontId="7" fillId="0" borderId="33" xfId="0" applyNumberFormat="1" applyFont="1" applyFill="1" applyBorder="1" applyAlignment="1">
      <alignment horizontal="left" vertical="top" wrapText="1"/>
    </xf>
    <xf numFmtId="49" fontId="7" fillId="0" borderId="80" xfId="0" applyNumberFormat="1" applyFont="1" applyFill="1" applyBorder="1" applyAlignment="1">
      <alignment horizontal="left" vertical="top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49" fontId="8" fillId="6" borderId="21" xfId="0" applyNumberFormat="1" applyFont="1" applyFill="1" applyBorder="1" applyAlignment="1">
      <alignment horizontal="left" vertical="top" wrapText="1"/>
    </xf>
    <xf numFmtId="49" fontId="8" fillId="6" borderId="67" xfId="0" applyNumberFormat="1" applyFont="1" applyFill="1" applyBorder="1" applyAlignment="1">
      <alignment horizontal="left" vertical="top" wrapText="1"/>
    </xf>
    <xf numFmtId="49" fontId="8" fillId="6" borderId="81" xfId="0" applyNumberFormat="1" applyFont="1" applyFill="1" applyBorder="1" applyAlignment="1">
      <alignment horizontal="left" vertical="top" wrapText="1"/>
    </xf>
    <xf numFmtId="0" fontId="8" fillId="3" borderId="56" xfId="0" applyFont="1" applyFill="1" applyBorder="1" applyAlignment="1">
      <alignment horizontal="left" vertical="top"/>
    </xf>
    <xf numFmtId="0" fontId="8" fillId="3" borderId="61" xfId="0" applyFont="1" applyFill="1" applyBorder="1" applyAlignment="1">
      <alignment horizontal="left" vertical="top"/>
    </xf>
    <xf numFmtId="0" fontId="20" fillId="0" borderId="27" xfId="0" applyFont="1" applyBorder="1" applyAlignment="1">
      <alignment horizontal="center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41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82" xfId="0" applyFont="1" applyFill="1" applyBorder="1" applyAlignment="1">
      <alignment horizontal="left" vertical="top" wrapText="1"/>
    </xf>
    <xf numFmtId="164" fontId="8" fillId="2" borderId="39" xfId="0" applyNumberFormat="1" applyFont="1" applyFill="1" applyBorder="1" applyAlignment="1">
      <alignment horizontal="center" vertical="top"/>
    </xf>
    <xf numFmtId="164" fontId="8" fillId="2" borderId="83" xfId="0" applyNumberFormat="1" applyFont="1" applyFill="1" applyBorder="1" applyAlignment="1">
      <alignment horizontal="center" vertical="top"/>
    </xf>
    <xf numFmtId="0" fontId="7" fillId="0" borderId="3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8" fillId="2" borderId="38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75" xfId="0" applyFont="1" applyFill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76" xfId="0" applyNumberFormat="1" applyFont="1" applyBorder="1" applyAlignment="1">
      <alignment horizontal="center" vertical="center" textRotation="90" wrapText="1"/>
    </xf>
    <xf numFmtId="0" fontId="2" fillId="0" borderId="64" xfId="0" applyNumberFormat="1" applyFont="1" applyBorder="1" applyAlignment="1">
      <alignment horizontal="center" vertical="center" textRotation="90" wrapText="1"/>
    </xf>
    <xf numFmtId="0" fontId="2" fillId="0" borderId="15" xfId="0" applyNumberFormat="1" applyFont="1" applyBorder="1" applyAlignment="1">
      <alignment horizontal="center" vertical="center" textRotation="90" wrapText="1"/>
    </xf>
    <xf numFmtId="0" fontId="1" fillId="0" borderId="79" xfId="0" applyFont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top"/>
    </xf>
    <xf numFmtId="49" fontId="8" fillId="3" borderId="78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0" fontId="1" fillId="0" borderId="41" xfId="0" applyFont="1" applyFill="1" applyBorder="1" applyAlignment="1">
      <alignment horizontal="left" vertical="top" wrapText="1"/>
    </xf>
    <xf numFmtId="0" fontId="20" fillId="0" borderId="27" xfId="0" applyFont="1" applyBorder="1" applyAlignment="1">
      <alignment horizontal="center" vertical="top"/>
    </xf>
    <xf numFmtId="0" fontId="29" fillId="0" borderId="35" xfId="0" applyFont="1" applyFill="1" applyBorder="1" applyAlignment="1">
      <alignment horizontal="left" vertical="top" wrapText="1"/>
    </xf>
    <xf numFmtId="0" fontId="29" fillId="0" borderId="41" xfId="0" applyFont="1" applyFill="1" applyBorder="1" applyAlignment="1">
      <alignment horizontal="left" vertical="top" wrapText="1"/>
    </xf>
    <xf numFmtId="0" fontId="29" fillId="0" borderId="27" xfId="0" applyFont="1" applyFill="1" applyBorder="1" applyAlignment="1">
      <alignment horizontal="left" vertical="top" wrapText="1"/>
    </xf>
    <xf numFmtId="164" fontId="8" fillId="7" borderId="19" xfId="0" applyNumberFormat="1" applyFont="1" applyFill="1" applyBorder="1" applyAlignment="1">
      <alignment horizontal="center" vertical="top"/>
    </xf>
    <xf numFmtId="164" fontId="8" fillId="7" borderId="17" xfId="0" applyNumberFormat="1" applyFont="1" applyFill="1" applyBorder="1" applyAlignment="1">
      <alignment horizontal="center" vertical="top"/>
    </xf>
    <xf numFmtId="164" fontId="8" fillId="7" borderId="18" xfId="0" applyNumberFormat="1" applyFont="1" applyFill="1" applyBorder="1" applyAlignment="1">
      <alignment horizontal="center" vertical="top"/>
    </xf>
    <xf numFmtId="164" fontId="8" fillId="2" borderId="38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164" fontId="8" fillId="2" borderId="16" xfId="0" applyNumberFormat="1" applyFont="1" applyFill="1" applyBorder="1" applyAlignment="1">
      <alignment horizontal="center" vertical="top"/>
    </xf>
    <xf numFmtId="164" fontId="7" fillId="0" borderId="38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8" fillId="7" borderId="71" xfId="0" applyNumberFormat="1" applyFont="1" applyFill="1" applyBorder="1" applyAlignment="1">
      <alignment horizontal="center" vertical="top"/>
    </xf>
    <xf numFmtId="164" fontId="8" fillId="7" borderId="80" xfId="0" applyNumberFormat="1" applyFont="1" applyFill="1" applyBorder="1" applyAlignment="1">
      <alignment horizontal="center" vertical="top"/>
    </xf>
    <xf numFmtId="164" fontId="7" fillId="0" borderId="69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horizontal="center" vertical="top"/>
    </xf>
    <xf numFmtId="0" fontId="8" fillId="7" borderId="19" xfId="0" applyFont="1" applyFill="1" applyBorder="1" applyAlignment="1">
      <alignment horizontal="right" vertical="top"/>
    </xf>
    <xf numFmtId="0" fontId="8" fillId="7" borderId="17" xfId="0" applyFont="1" applyFill="1" applyBorder="1" applyAlignment="1">
      <alignment horizontal="right" vertical="top"/>
    </xf>
    <xf numFmtId="0" fontId="8" fillId="7" borderId="18" xfId="0" applyFont="1" applyFill="1" applyBorder="1" applyAlignment="1">
      <alignment horizontal="right" vertical="top"/>
    </xf>
    <xf numFmtId="164" fontId="7" fillId="0" borderId="69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164" fontId="8" fillId="7" borderId="50" xfId="0" applyNumberFormat="1" applyFont="1" applyFill="1" applyBorder="1" applyAlignment="1">
      <alignment horizontal="center" vertical="top"/>
    </xf>
    <xf numFmtId="164" fontId="8" fillId="7" borderId="46" xfId="0" applyNumberFormat="1" applyFont="1" applyFill="1" applyBorder="1" applyAlignment="1">
      <alignment horizontal="center" vertical="top"/>
    </xf>
    <xf numFmtId="164" fontId="7" fillId="0" borderId="39" xfId="0" applyNumberFormat="1" applyFont="1" applyBorder="1" applyAlignment="1">
      <alignment horizontal="center" vertical="top"/>
    </xf>
    <xf numFmtId="164" fontId="7" fillId="0" borderId="83" xfId="0" applyNumberFormat="1" applyFont="1" applyBorder="1" applyAlignment="1">
      <alignment horizontal="center" vertical="top"/>
    </xf>
    <xf numFmtId="164" fontId="8" fillId="2" borderId="69" xfId="0" applyNumberFormat="1" applyFont="1" applyFill="1" applyBorder="1" applyAlignment="1">
      <alignment horizontal="center" vertical="top"/>
    </xf>
    <xf numFmtId="164" fontId="8" fillId="2" borderId="2" xfId="0" applyNumberFormat="1" applyFont="1" applyFill="1" applyBorder="1" applyAlignment="1">
      <alignment horizontal="center" vertical="top"/>
    </xf>
    <xf numFmtId="164" fontId="7" fillId="0" borderId="39" xfId="0" applyNumberFormat="1" applyFont="1" applyFill="1" applyBorder="1" applyAlignment="1">
      <alignment horizontal="center" vertical="top"/>
    </xf>
    <xf numFmtId="164" fontId="7" fillId="0" borderId="83" xfId="0" applyNumberFormat="1" applyFont="1" applyFill="1" applyBorder="1" applyAlignment="1">
      <alignment horizontal="center" vertical="top"/>
    </xf>
    <xf numFmtId="49" fontId="7" fillId="0" borderId="35" xfId="0" applyNumberFormat="1" applyFont="1" applyFill="1" applyBorder="1" applyAlignment="1">
      <alignment horizontal="center" vertical="top" wrapText="1"/>
    </xf>
    <xf numFmtId="49" fontId="7" fillId="0" borderId="41" xfId="0" applyNumberFormat="1" applyFont="1" applyFill="1" applyBorder="1" applyAlignment="1">
      <alignment horizontal="center" vertical="top" wrapText="1"/>
    </xf>
    <xf numFmtId="49" fontId="7" fillId="0" borderId="27" xfId="0" applyNumberFormat="1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horizontal="center" vertical="top" wrapText="1"/>
    </xf>
    <xf numFmtId="0" fontId="2" fillId="0" borderId="75" xfId="0" applyFont="1" applyBorder="1" applyAlignment="1">
      <alignment horizontal="center" vertical="top" wrapText="1"/>
    </xf>
    <xf numFmtId="0" fontId="7" fillId="5" borderId="35" xfId="0" applyFont="1" applyFill="1" applyBorder="1" applyAlignment="1">
      <alignment horizontal="left" vertical="top" wrapText="1"/>
    </xf>
    <xf numFmtId="0" fontId="7" fillId="5" borderId="41" xfId="0" applyFont="1" applyFill="1" applyBorder="1" applyAlignment="1">
      <alignment horizontal="left" vertical="top" wrapText="1"/>
    </xf>
    <xf numFmtId="0" fontId="7" fillId="5" borderId="27" xfId="0" applyFont="1" applyFill="1" applyBorder="1" applyAlignment="1">
      <alignment horizontal="left" vertical="top" wrapText="1"/>
    </xf>
    <xf numFmtId="0" fontId="7" fillId="0" borderId="65" xfId="0" applyFont="1" applyFill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75" xfId="0" applyFont="1" applyBorder="1" applyAlignment="1">
      <alignment horizontal="center" vertical="top" wrapText="1"/>
    </xf>
    <xf numFmtId="0" fontId="7" fillId="0" borderId="27" xfId="0" applyFont="1" applyFill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/>
    </xf>
    <xf numFmtId="0" fontId="20" fillId="0" borderId="41" xfId="0" applyFont="1" applyBorder="1" applyAlignment="1">
      <alignment horizontal="center" vertical="top"/>
    </xf>
    <xf numFmtId="49" fontId="7" fillId="0" borderId="76" xfId="0" applyNumberFormat="1" applyFont="1" applyBorder="1" applyAlignment="1">
      <alignment horizontal="center" vertical="top"/>
    </xf>
    <xf numFmtId="49" fontId="7" fillId="0" borderId="64" xfId="0" applyNumberFormat="1" applyFont="1" applyBorder="1" applyAlignment="1">
      <alignment horizontal="center" vertical="top"/>
    </xf>
    <xf numFmtId="0" fontId="20" fillId="0" borderId="64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0" fontId="7" fillId="0" borderId="41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0" borderId="38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164" fontId="7" fillId="0" borderId="49" xfId="0" applyNumberFormat="1" applyFont="1" applyBorder="1" applyAlignment="1">
      <alignment horizontal="center" vertical="top" wrapText="1"/>
    </xf>
    <xf numFmtId="164" fontId="7" fillId="0" borderId="39" xfId="0" applyNumberFormat="1" applyFont="1" applyBorder="1" applyAlignment="1">
      <alignment horizontal="center" vertical="top" wrapText="1"/>
    </xf>
    <xf numFmtId="164" fontId="7" fillId="0" borderId="83" xfId="0" applyNumberFormat="1" applyFont="1" applyBorder="1" applyAlignment="1">
      <alignment horizontal="center" vertical="top" wrapText="1"/>
    </xf>
    <xf numFmtId="164" fontId="7" fillId="0" borderId="69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49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7" fillId="0" borderId="83" xfId="0" applyFont="1" applyBorder="1" applyAlignment="1">
      <alignment horizontal="left" vertical="top" wrapText="1"/>
    </xf>
    <xf numFmtId="164" fontId="7" fillId="0" borderId="49" xfId="0" applyNumberFormat="1" applyFont="1" applyFill="1" applyBorder="1" applyAlignment="1">
      <alignment horizontal="center" vertical="top" wrapText="1"/>
    </xf>
    <xf numFmtId="164" fontId="7" fillId="0" borderId="39" xfId="0" applyNumberFormat="1" applyFont="1" applyFill="1" applyBorder="1" applyAlignment="1">
      <alignment horizontal="center" vertical="top" wrapText="1"/>
    </xf>
    <xf numFmtId="164" fontId="7" fillId="0" borderId="83" xfId="0" applyNumberFormat="1" applyFont="1" applyFill="1" applyBorder="1" applyAlignment="1">
      <alignment horizontal="center" vertical="top" wrapText="1"/>
    </xf>
    <xf numFmtId="164" fontId="8" fillId="0" borderId="36" xfId="0" applyNumberFormat="1" applyFont="1" applyBorder="1" applyAlignment="1">
      <alignment horizontal="center" vertical="top" wrapText="1"/>
    </xf>
    <xf numFmtId="164" fontId="8" fillId="0" borderId="35" xfId="0" applyNumberFormat="1" applyFont="1" applyBorder="1" applyAlignment="1">
      <alignment horizontal="center" vertical="top" wrapText="1"/>
    </xf>
    <xf numFmtId="164" fontId="8" fillId="0" borderId="37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 wrapText="1"/>
    </xf>
    <xf numFmtId="0" fontId="8" fillId="0" borderId="72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7" fillId="0" borderId="38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49" fontId="8" fillId="4" borderId="80" xfId="0" applyNumberFormat="1" applyFont="1" applyFill="1" applyBorder="1" applyAlignment="1">
      <alignment horizontal="right" vertical="top"/>
    </xf>
    <xf numFmtId="49" fontId="8" fillId="4" borderId="50" xfId="0" applyNumberFormat="1" applyFont="1" applyFill="1" applyBorder="1" applyAlignment="1">
      <alignment horizontal="right" vertical="top"/>
    </xf>
    <xf numFmtId="49" fontId="8" fillId="4" borderId="46" xfId="0" applyNumberFormat="1" applyFont="1" applyFill="1" applyBorder="1" applyAlignment="1">
      <alignment horizontal="right" vertical="top"/>
    </xf>
    <xf numFmtId="0" fontId="8" fillId="2" borderId="56" xfId="0" applyFont="1" applyFill="1" applyBorder="1" applyAlignment="1">
      <alignment horizontal="right" vertical="top"/>
    </xf>
    <xf numFmtId="0" fontId="8" fillId="2" borderId="61" xfId="0" applyFont="1" applyFill="1" applyBorder="1" applyAlignment="1">
      <alignment horizontal="right" vertical="top"/>
    </xf>
    <xf numFmtId="0" fontId="7" fillId="0" borderId="3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4" fontId="8" fillId="2" borderId="39" xfId="0" applyNumberFormat="1" applyFont="1" applyFill="1" applyBorder="1" applyAlignment="1">
      <alignment horizontal="center" vertical="top" wrapText="1"/>
    </xf>
    <xf numFmtId="164" fontId="8" fillId="2" borderId="83" xfId="0" applyNumberFormat="1" applyFont="1" applyFill="1" applyBorder="1" applyAlignment="1">
      <alignment horizontal="center" vertical="top" wrapText="1"/>
    </xf>
    <xf numFmtId="0" fontId="8" fillId="0" borderId="79" xfId="0" applyFont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49" fontId="8" fillId="3" borderId="56" xfId="0" applyNumberFormat="1" applyFont="1" applyFill="1" applyBorder="1" applyAlignment="1">
      <alignment horizontal="right" vertical="top"/>
    </xf>
    <xf numFmtId="49" fontId="8" fillId="3" borderId="61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19" fillId="0" borderId="44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1"/>
  <dimension ref="A1:Z85"/>
  <sheetViews>
    <sheetView tabSelected="1" zoomScaleNormal="100" zoomScaleSheetLayoutView="100" workbookViewId="0"/>
  </sheetViews>
  <sheetFormatPr defaultRowHeight="12.75"/>
  <cols>
    <col min="1" max="1" width="2.28515625" style="6" customWidth="1"/>
    <col min="2" max="2" width="2.42578125" style="6" customWidth="1"/>
    <col min="3" max="3" width="2.5703125" style="6" customWidth="1"/>
    <col min="4" max="4" width="30.7109375" style="6" customWidth="1"/>
    <col min="5" max="5" width="5.28515625" style="6" customWidth="1"/>
    <col min="6" max="6" width="3.140625" style="6" customWidth="1"/>
    <col min="7" max="7" width="2.7109375" style="7" customWidth="1"/>
    <col min="8" max="8" width="7.28515625" style="8" customWidth="1"/>
    <col min="9" max="9" width="7.140625" style="6" customWidth="1"/>
    <col min="10" max="10" width="8" style="6" customWidth="1"/>
    <col min="11" max="12" width="6.28515625" style="6" customWidth="1"/>
    <col min="13" max="13" width="7.42578125" style="6" customWidth="1"/>
    <col min="14" max="14" width="7.5703125" style="6" customWidth="1"/>
    <col min="15" max="15" width="6.5703125" style="6" customWidth="1"/>
    <col min="16" max="16" width="6.42578125" style="6" customWidth="1"/>
    <col min="17" max="17" width="7.42578125" style="6" customWidth="1"/>
    <col min="18" max="18" width="6.28515625" style="6" customWidth="1"/>
    <col min="19" max="19" width="6.42578125" style="6" customWidth="1"/>
    <col min="20" max="20" width="6.5703125" style="6" customWidth="1"/>
    <col min="21" max="21" width="7.42578125" style="6" customWidth="1"/>
    <col min="22" max="22" width="7.7109375" style="6" customWidth="1"/>
    <col min="23" max="23" width="9" style="2" customWidth="1"/>
    <col min="24" max="16384" width="9.140625" style="2"/>
  </cols>
  <sheetData>
    <row r="1" spans="1:26" s="54" customFormat="1" ht="14.25" customHeight="1">
      <c r="A1" s="26"/>
      <c r="B1" s="26"/>
      <c r="C1" s="26"/>
      <c r="D1" s="26"/>
      <c r="E1" s="26"/>
      <c r="F1" s="26"/>
      <c r="G1" s="27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99" t="s">
        <v>149</v>
      </c>
    </row>
    <row r="2" spans="1:26" s="54" customFormat="1" ht="31.5" customHeight="1">
      <c r="A2" s="554" t="s">
        <v>106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</row>
    <row r="3" spans="1:26" s="54" customFormat="1" ht="15" customHeight="1">
      <c r="A3" s="572" t="s">
        <v>124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11"/>
      <c r="X3" s="11"/>
      <c r="Y3" s="11"/>
      <c r="Z3" s="11"/>
    </row>
    <row r="4" spans="1:26" s="54" customFormat="1" ht="14.25" customHeight="1" thickBot="1">
      <c r="A4" s="26"/>
      <c r="B4" s="26"/>
      <c r="C4" s="26"/>
      <c r="D4" s="26"/>
      <c r="E4" s="26"/>
      <c r="F4" s="26"/>
      <c r="G4" s="27"/>
      <c r="H4" s="25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6" t="s">
        <v>0</v>
      </c>
    </row>
    <row r="5" spans="1:26" s="54" customFormat="1" ht="36.75" customHeight="1">
      <c r="A5" s="556" t="s">
        <v>1</v>
      </c>
      <c r="B5" s="559" t="s">
        <v>2</v>
      </c>
      <c r="C5" s="559" t="s">
        <v>3</v>
      </c>
      <c r="D5" s="562" t="s">
        <v>39</v>
      </c>
      <c r="E5" s="532" t="s">
        <v>4</v>
      </c>
      <c r="F5" s="559" t="s">
        <v>158</v>
      </c>
      <c r="G5" s="580" t="s">
        <v>5</v>
      </c>
      <c r="H5" s="574" t="s">
        <v>6</v>
      </c>
      <c r="I5" s="565" t="s">
        <v>77</v>
      </c>
      <c r="J5" s="566"/>
      <c r="K5" s="566"/>
      <c r="L5" s="583"/>
      <c r="M5" s="565" t="s">
        <v>105</v>
      </c>
      <c r="N5" s="566"/>
      <c r="O5" s="566"/>
      <c r="P5" s="567"/>
      <c r="Q5" s="565" t="s">
        <v>78</v>
      </c>
      <c r="R5" s="566"/>
      <c r="S5" s="566"/>
      <c r="T5" s="567"/>
      <c r="U5" s="577" t="s">
        <v>107</v>
      </c>
      <c r="V5" s="574" t="s">
        <v>108</v>
      </c>
    </row>
    <row r="6" spans="1:26" s="54" customFormat="1" ht="15" customHeight="1">
      <c r="A6" s="557"/>
      <c r="B6" s="560"/>
      <c r="C6" s="560"/>
      <c r="D6" s="563"/>
      <c r="E6" s="533"/>
      <c r="F6" s="560"/>
      <c r="G6" s="581"/>
      <c r="H6" s="575"/>
      <c r="I6" s="570" t="s">
        <v>7</v>
      </c>
      <c r="J6" s="522" t="s">
        <v>8</v>
      </c>
      <c r="K6" s="522"/>
      <c r="L6" s="568" t="s">
        <v>40</v>
      </c>
      <c r="M6" s="570" t="s">
        <v>7</v>
      </c>
      <c r="N6" s="522" t="s">
        <v>8</v>
      </c>
      <c r="O6" s="522"/>
      <c r="P6" s="520" t="s">
        <v>40</v>
      </c>
      <c r="Q6" s="570" t="s">
        <v>7</v>
      </c>
      <c r="R6" s="522" t="s">
        <v>8</v>
      </c>
      <c r="S6" s="522"/>
      <c r="T6" s="520" t="s">
        <v>40</v>
      </c>
      <c r="U6" s="578"/>
      <c r="V6" s="575"/>
    </row>
    <row r="7" spans="1:26" s="54" customFormat="1" ht="117.75" customHeight="1" thickBot="1">
      <c r="A7" s="558"/>
      <c r="B7" s="561"/>
      <c r="C7" s="561"/>
      <c r="D7" s="564"/>
      <c r="E7" s="534"/>
      <c r="F7" s="561"/>
      <c r="G7" s="582"/>
      <c r="H7" s="576"/>
      <c r="I7" s="571"/>
      <c r="J7" s="56" t="s">
        <v>7</v>
      </c>
      <c r="K7" s="57" t="s">
        <v>41</v>
      </c>
      <c r="L7" s="569"/>
      <c r="M7" s="571"/>
      <c r="N7" s="55" t="s">
        <v>7</v>
      </c>
      <c r="O7" s="57" t="s">
        <v>41</v>
      </c>
      <c r="P7" s="521"/>
      <c r="Q7" s="571"/>
      <c r="R7" s="55" t="s">
        <v>7</v>
      </c>
      <c r="S7" s="57" t="s">
        <v>41</v>
      </c>
      <c r="T7" s="521"/>
      <c r="U7" s="579"/>
      <c r="V7" s="576"/>
    </row>
    <row r="8" spans="1:26" ht="14.25" customHeight="1">
      <c r="A8" s="535" t="s">
        <v>57</v>
      </c>
      <c r="B8" s="536"/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6"/>
      <c r="P8" s="536"/>
      <c r="Q8" s="536"/>
      <c r="R8" s="536"/>
      <c r="S8" s="536"/>
      <c r="T8" s="536"/>
      <c r="U8" s="536"/>
      <c r="V8" s="537"/>
    </row>
    <row r="9" spans="1:26" ht="14.25" customHeight="1" thickBot="1">
      <c r="A9" s="543" t="s">
        <v>72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5"/>
    </row>
    <row r="10" spans="1:26" ht="14.25" customHeight="1" thickBot="1">
      <c r="A10" s="58" t="s">
        <v>9</v>
      </c>
      <c r="B10" s="538" t="s">
        <v>140</v>
      </c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9"/>
    </row>
    <row r="11" spans="1:26" ht="14.25" customHeight="1" thickBot="1">
      <c r="A11" s="58" t="s">
        <v>9</v>
      </c>
      <c r="B11" s="66" t="s">
        <v>9</v>
      </c>
      <c r="C11" s="523" t="s">
        <v>102</v>
      </c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3"/>
      <c r="T11" s="523"/>
      <c r="U11" s="523"/>
      <c r="V11" s="524"/>
    </row>
    <row r="12" spans="1:26" ht="20.25" customHeight="1">
      <c r="A12" s="208" t="s">
        <v>9</v>
      </c>
      <c r="B12" s="218" t="s">
        <v>9</v>
      </c>
      <c r="C12" s="159" t="s">
        <v>9</v>
      </c>
      <c r="D12" s="541" t="s">
        <v>115</v>
      </c>
      <c r="E12" s="525" t="s">
        <v>31</v>
      </c>
      <c r="F12" s="412" t="s">
        <v>14</v>
      </c>
      <c r="G12" s="410" t="s">
        <v>75</v>
      </c>
      <c r="H12" s="239" t="s">
        <v>12</v>
      </c>
      <c r="I12" s="136">
        <f>+J12+L12</f>
        <v>502.7</v>
      </c>
      <c r="J12" s="152">
        <v>502.7</v>
      </c>
      <c r="K12" s="152"/>
      <c r="L12" s="153"/>
      <c r="M12" s="75">
        <f>+N12+P12</f>
        <v>458.7</v>
      </c>
      <c r="N12" s="76">
        <v>458.7</v>
      </c>
      <c r="O12" s="74"/>
      <c r="P12" s="77"/>
      <c r="Q12" s="340">
        <f>R12+T12</f>
        <v>428.5</v>
      </c>
      <c r="R12" s="341">
        <v>428.5</v>
      </c>
      <c r="S12" s="341"/>
      <c r="T12" s="342"/>
      <c r="U12" s="96">
        <v>617</v>
      </c>
      <c r="V12" s="130">
        <v>618</v>
      </c>
    </row>
    <row r="13" spans="1:26" ht="20.25" customHeight="1" thickBot="1">
      <c r="A13" s="211"/>
      <c r="B13" s="223"/>
      <c r="C13" s="135"/>
      <c r="D13" s="542"/>
      <c r="E13" s="526"/>
      <c r="F13" s="413"/>
      <c r="G13" s="411"/>
      <c r="H13" s="328" t="s">
        <v>16</v>
      </c>
      <c r="I13" s="390">
        <f>SUM(I12:I12)</f>
        <v>502.7</v>
      </c>
      <c r="J13" s="388">
        <f>SUM(J12:J12)</f>
        <v>502.7</v>
      </c>
      <c r="K13" s="388"/>
      <c r="L13" s="391"/>
      <c r="M13" s="390">
        <f>SUM(M12:M12)</f>
        <v>458.7</v>
      </c>
      <c r="N13" s="388">
        <f>SUM(N12:N12)</f>
        <v>458.7</v>
      </c>
      <c r="O13" s="388"/>
      <c r="P13" s="391"/>
      <c r="Q13" s="390">
        <f>R13+T13</f>
        <v>428.5</v>
      </c>
      <c r="R13" s="388">
        <f>SUM(R12)</f>
        <v>428.5</v>
      </c>
      <c r="S13" s="388"/>
      <c r="T13" s="391"/>
      <c r="U13" s="329">
        <f>SUM(U12:U12)</f>
        <v>617</v>
      </c>
      <c r="V13" s="330">
        <f>SUM(V12:V12)</f>
        <v>618</v>
      </c>
      <c r="W13" s="35"/>
    </row>
    <row r="14" spans="1:26" ht="35.25" customHeight="1">
      <c r="A14" s="584" t="s">
        <v>9</v>
      </c>
      <c r="B14" s="517" t="s">
        <v>9</v>
      </c>
      <c r="C14" s="527" t="s">
        <v>10</v>
      </c>
      <c r="D14" s="529" t="s">
        <v>125</v>
      </c>
      <c r="E14" s="392" t="s">
        <v>31</v>
      </c>
      <c r="F14" s="503" t="s">
        <v>14</v>
      </c>
      <c r="G14" s="302" t="s">
        <v>75</v>
      </c>
      <c r="H14" s="238" t="s">
        <v>12</v>
      </c>
      <c r="I14" s="129">
        <f>J14+L14</f>
        <v>225.6</v>
      </c>
      <c r="J14" s="101">
        <v>225.6</v>
      </c>
      <c r="K14" s="101"/>
      <c r="L14" s="102"/>
      <c r="M14" s="129">
        <f>N14+P14</f>
        <v>909.80000000000007</v>
      </c>
      <c r="N14" s="101">
        <f>225.6+684.2</f>
        <v>909.80000000000007</v>
      </c>
      <c r="O14" s="101"/>
      <c r="P14" s="102"/>
      <c r="Q14" s="343">
        <f>R14+T14</f>
        <v>858.2</v>
      </c>
      <c r="R14" s="344">
        <f>798.2+60</f>
        <v>858.2</v>
      </c>
      <c r="S14" s="344"/>
      <c r="T14" s="345"/>
      <c r="U14" s="96">
        <v>208</v>
      </c>
      <c r="V14" s="130">
        <v>208</v>
      </c>
    </row>
    <row r="15" spans="1:26" ht="17.25" customHeight="1">
      <c r="A15" s="497"/>
      <c r="B15" s="518"/>
      <c r="C15" s="490"/>
      <c r="D15" s="530"/>
      <c r="E15" s="442" t="s">
        <v>145</v>
      </c>
      <c r="F15" s="516"/>
      <c r="G15" s="302"/>
      <c r="H15" s="291" t="s">
        <v>32</v>
      </c>
      <c r="I15" s="118"/>
      <c r="J15" s="119"/>
      <c r="K15" s="119"/>
      <c r="L15" s="120"/>
      <c r="M15" s="118">
        <f>N15+P15</f>
        <v>1022.8</v>
      </c>
      <c r="N15" s="119">
        <v>1022.8</v>
      </c>
      <c r="O15" s="119"/>
      <c r="P15" s="120"/>
      <c r="Q15" s="346"/>
      <c r="R15" s="347"/>
      <c r="S15" s="347"/>
      <c r="T15" s="348"/>
      <c r="U15" s="252"/>
      <c r="V15" s="179"/>
    </row>
    <row r="16" spans="1:26" ht="17.25" customHeight="1" thickBot="1">
      <c r="A16" s="585"/>
      <c r="B16" s="519"/>
      <c r="C16" s="528"/>
      <c r="D16" s="531"/>
      <c r="E16" s="393"/>
      <c r="F16" s="540"/>
      <c r="G16" s="394"/>
      <c r="H16" s="331" t="s">
        <v>16</v>
      </c>
      <c r="I16" s="332">
        <f>SUM(I14:I14)</f>
        <v>225.6</v>
      </c>
      <c r="J16" s="333">
        <f>SUM(J14:J14)</f>
        <v>225.6</v>
      </c>
      <c r="K16" s="333"/>
      <c r="L16" s="334"/>
      <c r="M16" s="332">
        <f>P16+N16</f>
        <v>1932.6</v>
      </c>
      <c r="N16" s="333">
        <f>SUM(N14:N15)</f>
        <v>1932.6</v>
      </c>
      <c r="O16" s="333"/>
      <c r="P16" s="334"/>
      <c r="Q16" s="332">
        <f>R16+T16</f>
        <v>858.2</v>
      </c>
      <c r="R16" s="333">
        <f>SUM(R14)</f>
        <v>858.2</v>
      </c>
      <c r="S16" s="333"/>
      <c r="T16" s="334"/>
      <c r="U16" s="335">
        <f>SUM(U14:U14)</f>
        <v>208</v>
      </c>
      <c r="V16" s="336">
        <f>SUM(V14:V14)</f>
        <v>208</v>
      </c>
    </row>
    <row r="17" spans="1:25" ht="14.25" customHeight="1" thickBot="1">
      <c r="A17" s="210" t="s">
        <v>9</v>
      </c>
      <c r="B17" s="292" t="s">
        <v>9</v>
      </c>
      <c r="C17" s="466" t="s">
        <v>15</v>
      </c>
      <c r="D17" s="467"/>
      <c r="E17" s="467"/>
      <c r="F17" s="467"/>
      <c r="G17" s="468"/>
      <c r="H17" s="469"/>
      <c r="I17" s="141">
        <f>J17+L17</f>
        <v>728.3</v>
      </c>
      <c r="J17" s="115">
        <f>J16+J13</f>
        <v>728.3</v>
      </c>
      <c r="K17" s="115"/>
      <c r="L17" s="438"/>
      <c r="M17" s="114">
        <f>N17+P17</f>
        <v>2391.2999999999997</v>
      </c>
      <c r="N17" s="126">
        <f>N16+N13</f>
        <v>2391.2999999999997</v>
      </c>
      <c r="O17" s="115"/>
      <c r="P17" s="438"/>
      <c r="Q17" s="141">
        <f>R17+T17</f>
        <v>1286.7</v>
      </c>
      <c r="R17" s="115">
        <f>R16+R13</f>
        <v>1286.7</v>
      </c>
      <c r="S17" s="115"/>
      <c r="T17" s="438"/>
      <c r="U17" s="114">
        <f>U16+U13</f>
        <v>825</v>
      </c>
      <c r="V17" s="116">
        <f>V16+V13</f>
        <v>826</v>
      </c>
    </row>
    <row r="18" spans="1:25" ht="14.25" customHeight="1" thickBot="1">
      <c r="A18" s="127" t="s">
        <v>9</v>
      </c>
      <c r="B18" s="221" t="s">
        <v>10</v>
      </c>
      <c r="C18" s="500" t="s">
        <v>87</v>
      </c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2"/>
    </row>
    <row r="19" spans="1:25" ht="14.25" customHeight="1">
      <c r="A19" s="157" t="s">
        <v>9</v>
      </c>
      <c r="B19" s="220" t="s">
        <v>10</v>
      </c>
      <c r="C19" s="507" t="s">
        <v>9</v>
      </c>
      <c r="D19" s="470" t="s">
        <v>83</v>
      </c>
      <c r="E19" s="498"/>
      <c r="F19" s="510" t="s">
        <v>14</v>
      </c>
      <c r="G19" s="513">
        <v>2</v>
      </c>
      <c r="H19" s="109" t="s">
        <v>12</v>
      </c>
      <c r="I19" s="173">
        <f>+J19+L19</f>
        <v>1030.5999999999999</v>
      </c>
      <c r="J19" s="68">
        <f>992.6+38</f>
        <v>1030.5999999999999</v>
      </c>
      <c r="K19" s="174">
        <v>489</v>
      </c>
      <c r="L19" s="110"/>
      <c r="M19" s="173">
        <f>N19+P19</f>
        <v>1032.4000000000001</v>
      </c>
      <c r="N19" s="68">
        <v>1032.4000000000001</v>
      </c>
      <c r="O19" s="175">
        <v>502.6</v>
      </c>
      <c r="P19" s="110"/>
      <c r="Q19" s="456">
        <f t="shared" ref="Q19:Q25" si="0">R19+T19</f>
        <v>949.5</v>
      </c>
      <c r="R19" s="452">
        <f>945.5+4</f>
        <v>949.5</v>
      </c>
      <c r="S19" s="456">
        <f>477.4+3.1</f>
        <v>480.5</v>
      </c>
      <c r="T19" s="349"/>
      <c r="U19" s="176">
        <v>1092</v>
      </c>
      <c r="V19" s="176">
        <v>1016</v>
      </c>
    </row>
    <row r="20" spans="1:25" ht="14.25" customHeight="1">
      <c r="A20" s="158"/>
      <c r="B20" s="217"/>
      <c r="C20" s="508"/>
      <c r="D20" s="470"/>
      <c r="E20" s="505"/>
      <c r="F20" s="511"/>
      <c r="G20" s="514"/>
      <c r="H20" s="177" t="s">
        <v>42</v>
      </c>
      <c r="I20" s="107">
        <f>+J20+L20</f>
        <v>353</v>
      </c>
      <c r="J20" s="53">
        <f>162+38+153</f>
        <v>353</v>
      </c>
      <c r="K20" s="80">
        <v>58.6</v>
      </c>
      <c r="L20" s="50"/>
      <c r="M20" s="107">
        <f>N20+P20</f>
        <v>353</v>
      </c>
      <c r="N20" s="53">
        <f>200+139.9</f>
        <v>339.9</v>
      </c>
      <c r="O20" s="80">
        <v>45.7</v>
      </c>
      <c r="P20" s="50">
        <v>13.1</v>
      </c>
      <c r="Q20" s="350">
        <f t="shared" si="0"/>
        <v>353</v>
      </c>
      <c r="R20" s="351">
        <v>339.9</v>
      </c>
      <c r="S20" s="350">
        <v>45.7</v>
      </c>
      <c r="T20" s="352">
        <v>13.1</v>
      </c>
      <c r="U20" s="81">
        <f>160+40+153</f>
        <v>353</v>
      </c>
      <c r="V20" s="81">
        <f>200+153</f>
        <v>353</v>
      </c>
      <c r="X20" s="261"/>
      <c r="Y20" s="261"/>
    </row>
    <row r="21" spans="1:25" ht="14.25" customHeight="1" thickBot="1">
      <c r="A21" s="210"/>
      <c r="B21" s="66"/>
      <c r="C21" s="509"/>
      <c r="D21" s="471"/>
      <c r="E21" s="506"/>
      <c r="F21" s="512"/>
      <c r="G21" s="515"/>
      <c r="H21" s="337" t="s">
        <v>16</v>
      </c>
      <c r="I21" s="390">
        <f>SUM(I19:I20)</f>
        <v>1383.6</v>
      </c>
      <c r="J21" s="388">
        <f>SUM(J19:J20)</f>
        <v>1383.6</v>
      </c>
      <c r="K21" s="388">
        <f>SUM(K19:K20)</f>
        <v>547.6</v>
      </c>
      <c r="L21" s="391"/>
      <c r="M21" s="390">
        <f>SUM(M19:M20)</f>
        <v>1385.4</v>
      </c>
      <c r="N21" s="388">
        <f>SUM(N19:N20)</f>
        <v>1372.3000000000002</v>
      </c>
      <c r="O21" s="388">
        <f>SUM(O19:O20)</f>
        <v>548.30000000000007</v>
      </c>
      <c r="P21" s="391">
        <f>SUM(P19:P20)</f>
        <v>13.1</v>
      </c>
      <c r="Q21" s="387">
        <f t="shared" si="0"/>
        <v>1302.5</v>
      </c>
      <c r="R21" s="449">
        <f>SUM(R19:R20)</f>
        <v>1289.4000000000001</v>
      </c>
      <c r="S21" s="449">
        <f>SUM(S19:S20)</f>
        <v>526.20000000000005</v>
      </c>
      <c r="T21" s="450">
        <f>SUM(T20:T20)</f>
        <v>13.1</v>
      </c>
      <c r="U21" s="330">
        <f>SUM(U19:U20)</f>
        <v>1445</v>
      </c>
      <c r="V21" s="330">
        <f>SUM(V19:V20)</f>
        <v>1369</v>
      </c>
      <c r="Y21" s="261"/>
    </row>
    <row r="22" spans="1:25" ht="15.75" customHeight="1">
      <c r="A22" s="488" t="s">
        <v>9</v>
      </c>
      <c r="B22" s="492" t="s">
        <v>10</v>
      </c>
      <c r="C22" s="490" t="s">
        <v>10</v>
      </c>
      <c r="D22" s="470" t="s">
        <v>114</v>
      </c>
      <c r="E22" s="498"/>
      <c r="F22" s="503" t="s">
        <v>14</v>
      </c>
      <c r="G22" s="495">
        <v>2</v>
      </c>
      <c r="H22" s="166" t="s">
        <v>12</v>
      </c>
      <c r="I22" s="99">
        <f>J22+L22</f>
        <v>1917.5</v>
      </c>
      <c r="J22" s="100">
        <v>1917.5</v>
      </c>
      <c r="K22" s="100">
        <v>1245.3</v>
      </c>
      <c r="L22" s="117"/>
      <c r="M22" s="99">
        <f>N22+P22</f>
        <v>2008.8</v>
      </c>
      <c r="N22" s="100">
        <v>2008.8</v>
      </c>
      <c r="O22" s="100">
        <v>1247</v>
      </c>
      <c r="P22" s="117"/>
      <c r="Q22" s="458">
        <f t="shared" si="0"/>
        <v>1819.9</v>
      </c>
      <c r="R22" s="455">
        <f>1818.2+1.7</f>
        <v>1819.9</v>
      </c>
      <c r="S22" s="455">
        <f>1184.7+1.3</f>
        <v>1186</v>
      </c>
      <c r="T22" s="355"/>
      <c r="U22" s="97">
        <v>2079</v>
      </c>
      <c r="V22" s="146">
        <v>2200</v>
      </c>
    </row>
    <row r="23" spans="1:25" ht="15.75" customHeight="1">
      <c r="A23" s="497"/>
      <c r="B23" s="494"/>
      <c r="C23" s="490"/>
      <c r="D23" s="470"/>
      <c r="E23" s="498"/>
      <c r="F23" s="516"/>
      <c r="G23" s="495"/>
      <c r="H23" s="30" t="s">
        <v>42</v>
      </c>
      <c r="I23" s="106">
        <f>J23+L23</f>
        <v>424</v>
      </c>
      <c r="J23" s="53">
        <v>424</v>
      </c>
      <c r="K23" s="53">
        <v>120</v>
      </c>
      <c r="L23" s="50"/>
      <c r="M23" s="106">
        <f>N23+P23</f>
        <v>456.5</v>
      </c>
      <c r="N23" s="53">
        <v>456.5</v>
      </c>
      <c r="O23" s="53">
        <v>120</v>
      </c>
      <c r="P23" s="50"/>
      <c r="Q23" s="440">
        <f t="shared" si="0"/>
        <v>500.2</v>
      </c>
      <c r="R23" s="441">
        <f>460.2+40</f>
        <v>500.2</v>
      </c>
      <c r="S23" s="441">
        <v>126.8</v>
      </c>
      <c r="T23" s="437"/>
      <c r="U23" s="107">
        <f>450+24</f>
        <v>474</v>
      </c>
      <c r="V23" s="81">
        <f>460+24</f>
        <v>484</v>
      </c>
    </row>
    <row r="24" spans="1:25" ht="15.75" customHeight="1" thickBot="1">
      <c r="A24" s="489"/>
      <c r="B24" s="493"/>
      <c r="C24" s="491"/>
      <c r="D24" s="471"/>
      <c r="E24" s="499"/>
      <c r="F24" s="504"/>
      <c r="G24" s="496"/>
      <c r="H24" s="338" t="s">
        <v>16</v>
      </c>
      <c r="I24" s="390">
        <f>SUM(I22:I23)</f>
        <v>2341.5</v>
      </c>
      <c r="J24" s="388">
        <f>SUM(J22:J23)</f>
        <v>2341.5</v>
      </c>
      <c r="K24" s="339">
        <f>SUM(K22:K23)</f>
        <v>1365.3</v>
      </c>
      <c r="L24" s="391"/>
      <c r="M24" s="390">
        <f>SUM(M22:M23)</f>
        <v>2465.3000000000002</v>
      </c>
      <c r="N24" s="388">
        <f>SUM(N22:N23)</f>
        <v>2465.3000000000002</v>
      </c>
      <c r="O24" s="388">
        <f>SUM(O22:O23)</f>
        <v>1367</v>
      </c>
      <c r="P24" s="391"/>
      <c r="Q24" s="390">
        <f t="shared" si="0"/>
        <v>2320.1</v>
      </c>
      <c r="R24" s="388">
        <f>SUM(R22:R23)</f>
        <v>2320.1</v>
      </c>
      <c r="S24" s="339">
        <f>SUM(S22:S23)</f>
        <v>1312.8</v>
      </c>
      <c r="T24" s="391"/>
      <c r="U24" s="390">
        <f>SUM(U22:U23)</f>
        <v>2553</v>
      </c>
      <c r="V24" s="330">
        <f>SUM(V22:V23)</f>
        <v>2684</v>
      </c>
    </row>
    <row r="25" spans="1:25" ht="29.25" customHeight="1">
      <c r="A25" s="488" t="s">
        <v>9</v>
      </c>
      <c r="B25" s="492" t="s">
        <v>10</v>
      </c>
      <c r="C25" s="490" t="s">
        <v>11</v>
      </c>
      <c r="D25" s="470" t="s">
        <v>84</v>
      </c>
      <c r="E25" s="498"/>
      <c r="F25" s="503" t="s">
        <v>14</v>
      </c>
      <c r="G25" s="495">
        <v>2</v>
      </c>
      <c r="H25" s="166" t="s">
        <v>12</v>
      </c>
      <c r="I25" s="99">
        <f>J25+L25</f>
        <v>86.399999999999991</v>
      </c>
      <c r="J25" s="100">
        <f>63.1+8</f>
        <v>71.099999999999994</v>
      </c>
      <c r="K25" s="100">
        <v>11.8</v>
      </c>
      <c r="L25" s="117">
        <f>23.3-8</f>
        <v>15.3</v>
      </c>
      <c r="M25" s="82">
        <f>N25+P25</f>
        <v>214.6</v>
      </c>
      <c r="N25" s="83">
        <v>187.4</v>
      </c>
      <c r="O25" s="83">
        <v>59</v>
      </c>
      <c r="P25" s="240">
        <v>27.2</v>
      </c>
      <c r="Q25" s="458">
        <f t="shared" si="0"/>
        <v>187.20000000000002</v>
      </c>
      <c r="R25" s="455">
        <f>180.3+0.1</f>
        <v>180.4</v>
      </c>
      <c r="S25" s="455">
        <f>56.1+0.1+4.1</f>
        <v>60.300000000000004</v>
      </c>
      <c r="T25" s="355">
        <v>6.8</v>
      </c>
      <c r="U25" s="97">
        <v>215</v>
      </c>
      <c r="V25" s="130">
        <v>215</v>
      </c>
    </row>
    <row r="26" spans="1:25" ht="14.25" customHeight="1" thickBot="1">
      <c r="A26" s="489"/>
      <c r="B26" s="493"/>
      <c r="C26" s="491"/>
      <c r="D26" s="471"/>
      <c r="E26" s="499"/>
      <c r="F26" s="504"/>
      <c r="G26" s="496"/>
      <c r="H26" s="338" t="s">
        <v>16</v>
      </c>
      <c r="I26" s="329">
        <f>SUM(I25)</f>
        <v>86.399999999999991</v>
      </c>
      <c r="J26" s="388">
        <f t="shared" ref="J26:V26" si="1">SUM(J25)</f>
        <v>71.099999999999994</v>
      </c>
      <c r="K26" s="385">
        <f t="shared" si="1"/>
        <v>11.8</v>
      </c>
      <c r="L26" s="388">
        <f t="shared" si="1"/>
        <v>15.3</v>
      </c>
      <c r="M26" s="390">
        <f t="shared" si="1"/>
        <v>214.6</v>
      </c>
      <c r="N26" s="385">
        <f t="shared" si="1"/>
        <v>187.4</v>
      </c>
      <c r="O26" s="388">
        <f t="shared" si="1"/>
        <v>59</v>
      </c>
      <c r="P26" s="387">
        <f t="shared" si="1"/>
        <v>27.2</v>
      </c>
      <c r="Q26" s="329">
        <f t="shared" si="1"/>
        <v>187.20000000000002</v>
      </c>
      <c r="R26" s="388">
        <f t="shared" si="1"/>
        <v>180.4</v>
      </c>
      <c r="S26" s="385">
        <f t="shared" si="1"/>
        <v>60.300000000000004</v>
      </c>
      <c r="T26" s="391">
        <f t="shared" si="1"/>
        <v>6.8</v>
      </c>
      <c r="U26" s="390">
        <f t="shared" si="1"/>
        <v>215</v>
      </c>
      <c r="V26" s="330">
        <f t="shared" si="1"/>
        <v>215</v>
      </c>
    </row>
    <row r="27" spans="1:25" ht="14.25" customHeight="1" thickBot="1">
      <c r="A27" s="127" t="s">
        <v>9</v>
      </c>
      <c r="B27" s="221" t="s">
        <v>10</v>
      </c>
      <c r="C27" s="472" t="s">
        <v>15</v>
      </c>
      <c r="D27" s="468"/>
      <c r="E27" s="468"/>
      <c r="F27" s="468"/>
      <c r="G27" s="468"/>
      <c r="H27" s="468"/>
      <c r="I27" s="121">
        <f t="shared" ref="I27:P27" si="2">I26+I24+I21</f>
        <v>3811.5</v>
      </c>
      <c r="J27" s="122">
        <f t="shared" si="2"/>
        <v>3796.2</v>
      </c>
      <c r="K27" s="122">
        <f t="shared" si="2"/>
        <v>1924.6999999999998</v>
      </c>
      <c r="L27" s="123">
        <f t="shared" si="2"/>
        <v>15.3</v>
      </c>
      <c r="M27" s="121">
        <f t="shared" si="2"/>
        <v>4065.3</v>
      </c>
      <c r="N27" s="122">
        <f t="shared" si="2"/>
        <v>4025.0000000000005</v>
      </c>
      <c r="O27" s="122">
        <f t="shared" si="2"/>
        <v>1974.3000000000002</v>
      </c>
      <c r="P27" s="123">
        <f t="shared" si="2"/>
        <v>40.299999999999997</v>
      </c>
      <c r="Q27" s="121">
        <f>R27+T27</f>
        <v>3809.8</v>
      </c>
      <c r="R27" s="122">
        <f>R26+R24+R21</f>
        <v>3789.9</v>
      </c>
      <c r="S27" s="122">
        <f>S26+S24+S21</f>
        <v>1899.3</v>
      </c>
      <c r="T27" s="123">
        <f>T26+T24+T21</f>
        <v>19.899999999999999</v>
      </c>
      <c r="U27" s="121">
        <f>U26+U24+U21</f>
        <v>4213</v>
      </c>
      <c r="V27" s="212">
        <f>V26+V24+V21</f>
        <v>4268</v>
      </c>
    </row>
    <row r="28" spans="1:25" ht="14.25" customHeight="1" thickBot="1">
      <c r="A28" s="127" t="s">
        <v>9</v>
      </c>
      <c r="B28" s="222" t="s">
        <v>11</v>
      </c>
      <c r="C28" s="478" t="s">
        <v>141</v>
      </c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80"/>
    </row>
    <row r="29" spans="1:25" ht="14.25" customHeight="1">
      <c r="A29" s="157" t="s">
        <v>9</v>
      </c>
      <c r="B29" s="220" t="s">
        <v>11</v>
      </c>
      <c r="C29" s="128" t="s">
        <v>9</v>
      </c>
      <c r="D29" s="475" t="s">
        <v>85</v>
      </c>
      <c r="E29" s="396"/>
      <c r="F29" s="414" t="s">
        <v>14</v>
      </c>
      <c r="G29" s="397">
        <v>2</v>
      </c>
      <c r="H29" s="109" t="s">
        <v>12</v>
      </c>
      <c r="I29" s="129">
        <f>+J29+L29</f>
        <v>1976.9</v>
      </c>
      <c r="J29" s="101">
        <v>1976.9</v>
      </c>
      <c r="K29" s="101">
        <v>1170.0999999999999</v>
      </c>
      <c r="L29" s="102"/>
      <c r="M29" s="129">
        <f>N29+P29</f>
        <v>2217.7000000000003</v>
      </c>
      <c r="N29" s="101">
        <v>2154.4</v>
      </c>
      <c r="O29" s="101">
        <v>1183.0999999999999</v>
      </c>
      <c r="P29" s="102">
        <v>63.3</v>
      </c>
      <c r="Q29" s="457">
        <f t="shared" ref="Q29:Q34" si="3">R29+T29</f>
        <v>1989.8000000000002</v>
      </c>
      <c r="R29" s="444">
        <f>1963.7+8.7</f>
        <v>1972.4</v>
      </c>
      <c r="S29" s="444">
        <f>1123.9+3.6</f>
        <v>1127.5</v>
      </c>
      <c r="T29" s="345">
        <v>17.399999999999999</v>
      </c>
      <c r="U29" s="207">
        <v>2211.1999999999998</v>
      </c>
      <c r="V29" s="130">
        <v>2180.6999999999998</v>
      </c>
    </row>
    <row r="30" spans="1:25" ht="14.25" customHeight="1">
      <c r="A30" s="158"/>
      <c r="B30" s="217"/>
      <c r="C30" s="111"/>
      <c r="D30" s="476"/>
      <c r="E30" s="72"/>
      <c r="F30" s="405"/>
      <c r="G30" s="111"/>
      <c r="H30" s="30" t="s">
        <v>42</v>
      </c>
      <c r="I30" s="106">
        <f>J30+L30</f>
        <v>57</v>
      </c>
      <c r="J30" s="53">
        <f>53+2</f>
        <v>55</v>
      </c>
      <c r="K30" s="53">
        <v>10</v>
      </c>
      <c r="L30" s="50">
        <v>2</v>
      </c>
      <c r="M30" s="106">
        <f>P30+N30</f>
        <v>47</v>
      </c>
      <c r="N30" s="53">
        <v>42</v>
      </c>
      <c r="O30" s="53"/>
      <c r="P30" s="50">
        <v>5</v>
      </c>
      <c r="Q30" s="356">
        <f t="shared" si="3"/>
        <v>47</v>
      </c>
      <c r="R30" s="351">
        <v>42</v>
      </c>
      <c r="S30" s="351"/>
      <c r="T30" s="357">
        <v>5</v>
      </c>
      <c r="U30" s="80">
        <f>45+2</f>
        <v>47</v>
      </c>
      <c r="V30" s="81">
        <f>45+2</f>
        <v>47</v>
      </c>
    </row>
    <row r="31" spans="1:25" ht="14.25" customHeight="1" thickBot="1">
      <c r="A31" s="158"/>
      <c r="B31" s="217"/>
      <c r="C31" s="132"/>
      <c r="D31" s="477"/>
      <c r="E31" s="395"/>
      <c r="F31" s="419"/>
      <c r="G31" s="133"/>
      <c r="H31" s="337" t="s">
        <v>16</v>
      </c>
      <c r="I31" s="390">
        <f t="shared" ref="I31:P31" si="4">SUM(I29:I30)</f>
        <v>2033.9</v>
      </c>
      <c r="J31" s="388">
        <f t="shared" si="4"/>
        <v>2031.9</v>
      </c>
      <c r="K31" s="388">
        <f t="shared" si="4"/>
        <v>1180.0999999999999</v>
      </c>
      <c r="L31" s="391">
        <f t="shared" si="4"/>
        <v>2</v>
      </c>
      <c r="M31" s="390">
        <f t="shared" si="4"/>
        <v>2264.7000000000003</v>
      </c>
      <c r="N31" s="388">
        <f t="shared" si="4"/>
        <v>2196.4</v>
      </c>
      <c r="O31" s="388">
        <f t="shared" si="4"/>
        <v>1183.0999999999999</v>
      </c>
      <c r="P31" s="391">
        <f t="shared" si="4"/>
        <v>68.3</v>
      </c>
      <c r="Q31" s="448">
        <f t="shared" si="3"/>
        <v>2036.8000000000002</v>
      </c>
      <c r="R31" s="449">
        <f>SUM(R29:R30)</f>
        <v>2014.4</v>
      </c>
      <c r="S31" s="449">
        <f>SUM(S29:S30)</f>
        <v>1127.5</v>
      </c>
      <c r="T31" s="450">
        <f>SUM(T29:T30)</f>
        <v>22.4</v>
      </c>
      <c r="U31" s="390">
        <f>SUM(U29:U30)</f>
        <v>2258.1999999999998</v>
      </c>
      <c r="V31" s="330">
        <f>SUM(V29:V30)</f>
        <v>2227.6999999999998</v>
      </c>
    </row>
    <row r="32" spans="1:25" ht="14.25" customHeight="1">
      <c r="A32" s="208" t="s">
        <v>9</v>
      </c>
      <c r="B32" s="218" t="s">
        <v>11</v>
      </c>
      <c r="C32" s="159" t="s">
        <v>10</v>
      </c>
      <c r="D32" s="475" t="s">
        <v>86</v>
      </c>
      <c r="E32" s="398"/>
      <c r="F32" s="422" t="s">
        <v>14</v>
      </c>
      <c r="G32" s="415">
        <v>2</v>
      </c>
      <c r="H32" s="178" t="s">
        <v>12</v>
      </c>
      <c r="I32" s="67">
        <f>+J32+L32</f>
        <v>898.1</v>
      </c>
      <c r="J32" s="68">
        <v>898.1</v>
      </c>
      <c r="K32" s="68">
        <v>382.1</v>
      </c>
      <c r="L32" s="110"/>
      <c r="M32" s="67">
        <f>+N32+P32</f>
        <v>968.9</v>
      </c>
      <c r="N32" s="68">
        <f>968.9-3.5</f>
        <v>965.4</v>
      </c>
      <c r="O32" s="68">
        <v>383.7</v>
      </c>
      <c r="P32" s="110">
        <v>3.5</v>
      </c>
      <c r="Q32" s="459">
        <f t="shared" si="3"/>
        <v>838.90000000000009</v>
      </c>
      <c r="R32" s="452">
        <f>831.7+3.7</f>
        <v>835.40000000000009</v>
      </c>
      <c r="S32" s="452">
        <f>364.5+2.8</f>
        <v>367.3</v>
      </c>
      <c r="T32" s="358">
        <v>3.5</v>
      </c>
      <c r="U32" s="176">
        <v>1076.9000000000001</v>
      </c>
      <c r="V32" s="176">
        <v>1026.9000000000001</v>
      </c>
    </row>
    <row r="33" spans="1:23" ht="14.25" customHeight="1">
      <c r="A33" s="211"/>
      <c r="B33" s="223"/>
      <c r="C33" s="135"/>
      <c r="D33" s="476"/>
      <c r="E33" s="399"/>
      <c r="F33" s="423"/>
      <c r="G33" s="420"/>
      <c r="H33" s="73" t="s">
        <v>42</v>
      </c>
      <c r="I33" s="118">
        <f>J33+L33</f>
        <v>48</v>
      </c>
      <c r="J33" s="119">
        <f>24+18</f>
        <v>42</v>
      </c>
      <c r="K33" s="119"/>
      <c r="L33" s="120">
        <v>6</v>
      </c>
      <c r="M33" s="118">
        <f>N33+P33</f>
        <v>26.2</v>
      </c>
      <c r="N33" s="119">
        <f>12+6.2</f>
        <v>18.2</v>
      </c>
      <c r="O33" s="119"/>
      <c r="P33" s="120">
        <v>8</v>
      </c>
      <c r="Q33" s="460">
        <f t="shared" si="3"/>
        <v>28.7</v>
      </c>
      <c r="R33" s="454">
        <f>18.2+2.5</f>
        <v>20.7</v>
      </c>
      <c r="S33" s="347"/>
      <c r="T33" s="348">
        <v>8</v>
      </c>
      <c r="U33" s="179">
        <f>12+14.2</f>
        <v>26.2</v>
      </c>
      <c r="V33" s="179">
        <f>12+14.2</f>
        <v>26.2</v>
      </c>
    </row>
    <row r="34" spans="1:23" ht="14.25" customHeight="1" thickBot="1">
      <c r="A34" s="209"/>
      <c r="B34" s="219"/>
      <c r="C34" s="140"/>
      <c r="D34" s="477"/>
      <c r="E34" s="400"/>
      <c r="F34" s="424"/>
      <c r="G34" s="421"/>
      <c r="H34" s="338" t="s">
        <v>16</v>
      </c>
      <c r="I34" s="390">
        <f t="shared" ref="I34:P34" si="5">SUM(I32:I33)</f>
        <v>946.1</v>
      </c>
      <c r="J34" s="388">
        <f t="shared" si="5"/>
        <v>940.1</v>
      </c>
      <c r="K34" s="388">
        <f t="shared" si="5"/>
        <v>382.1</v>
      </c>
      <c r="L34" s="391">
        <f t="shared" si="5"/>
        <v>6</v>
      </c>
      <c r="M34" s="390">
        <f t="shared" si="5"/>
        <v>995.1</v>
      </c>
      <c r="N34" s="388">
        <f t="shared" si="5"/>
        <v>983.6</v>
      </c>
      <c r="O34" s="388">
        <f t="shared" si="5"/>
        <v>383.7</v>
      </c>
      <c r="P34" s="391">
        <f t="shared" si="5"/>
        <v>11.5</v>
      </c>
      <c r="Q34" s="387">
        <f t="shared" si="3"/>
        <v>867.60000000000014</v>
      </c>
      <c r="R34" s="388">
        <f>SUM(R32:R33)</f>
        <v>856.10000000000014</v>
      </c>
      <c r="S34" s="388">
        <f>SUM(S32:S33)</f>
        <v>367.3</v>
      </c>
      <c r="T34" s="389">
        <f>SUM(T32:T33)</f>
        <v>11.5</v>
      </c>
      <c r="U34" s="390">
        <f>SUM(U32:U33)</f>
        <v>1103.1000000000001</v>
      </c>
      <c r="V34" s="330">
        <f>SUM(V32:V33)</f>
        <v>1053.1000000000001</v>
      </c>
    </row>
    <row r="35" spans="1:23" s="29" customFormat="1" ht="27.75" customHeight="1">
      <c r="A35" s="211" t="s">
        <v>9</v>
      </c>
      <c r="B35" s="223" t="s">
        <v>11</v>
      </c>
      <c r="C35" s="135" t="s">
        <v>11</v>
      </c>
      <c r="D35" s="624" t="s">
        <v>118</v>
      </c>
      <c r="E35" s="401"/>
      <c r="F35" s="619" t="s">
        <v>14</v>
      </c>
      <c r="G35" s="416">
        <v>2</v>
      </c>
      <c r="H35" s="134" t="s">
        <v>12</v>
      </c>
      <c r="I35" s="98"/>
      <c r="J35" s="154"/>
      <c r="K35" s="154"/>
      <c r="L35" s="155"/>
      <c r="M35" s="180">
        <f>N35+P35</f>
        <v>143.19999999999999</v>
      </c>
      <c r="N35" s="180">
        <v>143.19999999999999</v>
      </c>
      <c r="O35" s="180"/>
      <c r="P35" s="112"/>
      <c r="Q35" s="359"/>
      <c r="R35" s="360"/>
      <c r="S35" s="360"/>
      <c r="T35" s="361"/>
      <c r="U35" s="125"/>
      <c r="V35" s="81"/>
    </row>
    <row r="36" spans="1:23" s="29" customFormat="1" ht="27.75" customHeight="1">
      <c r="A36" s="211"/>
      <c r="B36" s="223"/>
      <c r="C36" s="135"/>
      <c r="D36" s="625"/>
      <c r="E36" s="401"/>
      <c r="F36" s="620"/>
      <c r="G36" s="420"/>
      <c r="H36" s="137" t="s">
        <v>43</v>
      </c>
      <c r="I36" s="138"/>
      <c r="J36" s="63"/>
      <c r="K36" s="63"/>
      <c r="L36" s="64"/>
      <c r="M36" s="180">
        <f>N36+P36</f>
        <v>1030.9000000000001</v>
      </c>
      <c r="N36" s="63">
        <v>1030.9000000000001</v>
      </c>
      <c r="O36" s="63"/>
      <c r="P36" s="139"/>
      <c r="Q36" s="362"/>
      <c r="R36" s="353"/>
      <c r="S36" s="353"/>
      <c r="T36" s="363"/>
      <c r="U36" s="87">
        <v>257.7</v>
      </c>
      <c r="V36" s="87"/>
    </row>
    <row r="37" spans="1:23" s="29" customFormat="1" ht="180.75" customHeight="1">
      <c r="A37" s="211"/>
      <c r="B37" s="223"/>
      <c r="C37" s="135"/>
      <c r="D37" s="625" t="s">
        <v>160</v>
      </c>
      <c r="E37" s="401"/>
      <c r="F37" s="620"/>
      <c r="G37" s="420"/>
      <c r="H37" s="137"/>
      <c r="I37" s="98"/>
      <c r="J37" s="259"/>
      <c r="K37" s="259"/>
      <c r="L37" s="155"/>
      <c r="M37" s="154"/>
      <c r="N37" s="259"/>
      <c r="O37" s="259"/>
      <c r="P37" s="260"/>
      <c r="Q37" s="359"/>
      <c r="R37" s="364"/>
      <c r="S37" s="364"/>
      <c r="T37" s="361"/>
      <c r="U37" s="87"/>
      <c r="V37" s="87"/>
    </row>
    <row r="38" spans="1:23" s="29" customFormat="1" ht="15" customHeight="1" thickBot="1">
      <c r="A38" s="209"/>
      <c r="B38" s="219"/>
      <c r="C38" s="140"/>
      <c r="D38" s="626"/>
      <c r="E38" s="402"/>
      <c r="F38" s="621"/>
      <c r="G38" s="421"/>
      <c r="H38" s="338" t="s">
        <v>16</v>
      </c>
      <c r="I38" s="390">
        <f>SUM(I36)</f>
        <v>0</v>
      </c>
      <c r="J38" s="388">
        <f>SUM(J36)</f>
        <v>0</v>
      </c>
      <c r="K38" s="388"/>
      <c r="L38" s="386"/>
      <c r="M38" s="387">
        <f>SUM(M35:M36)</f>
        <v>1174.1000000000001</v>
      </c>
      <c r="N38" s="388">
        <f>SUM(N35:N36)</f>
        <v>1174.1000000000001</v>
      </c>
      <c r="O38" s="388"/>
      <c r="P38" s="385"/>
      <c r="Q38" s="390"/>
      <c r="R38" s="388"/>
      <c r="S38" s="388"/>
      <c r="T38" s="386"/>
      <c r="U38" s="330">
        <f>SUM(U35:U36)</f>
        <v>257.7</v>
      </c>
      <c r="V38" s="330"/>
    </row>
    <row r="39" spans="1:23" ht="14.25" customHeight="1" thickBot="1">
      <c r="A39" s="127" t="s">
        <v>9</v>
      </c>
      <c r="B39" s="221" t="s">
        <v>11</v>
      </c>
      <c r="C39" s="472" t="s">
        <v>15</v>
      </c>
      <c r="D39" s="468"/>
      <c r="E39" s="468"/>
      <c r="F39" s="468"/>
      <c r="G39" s="468"/>
      <c r="H39" s="468"/>
      <c r="I39" s="141">
        <f t="shared" ref="I39:P39" si="6">I38+I34+I31</f>
        <v>2980</v>
      </c>
      <c r="J39" s="142">
        <f t="shared" si="6"/>
        <v>2972</v>
      </c>
      <c r="K39" s="115">
        <f t="shared" si="6"/>
        <v>1562.1999999999998</v>
      </c>
      <c r="L39" s="143">
        <f t="shared" si="6"/>
        <v>8</v>
      </c>
      <c r="M39" s="114">
        <f t="shared" si="6"/>
        <v>4433.9000000000005</v>
      </c>
      <c r="N39" s="115">
        <f t="shared" si="6"/>
        <v>4354.1000000000004</v>
      </c>
      <c r="O39" s="115">
        <f t="shared" si="6"/>
        <v>1566.8</v>
      </c>
      <c r="P39" s="126">
        <f t="shared" si="6"/>
        <v>79.8</v>
      </c>
      <c r="Q39" s="141">
        <f>R39+T39</f>
        <v>2904.4</v>
      </c>
      <c r="R39" s="142">
        <f>R38+R34+R31</f>
        <v>2870.5</v>
      </c>
      <c r="S39" s="115">
        <f>S38+S34+S31</f>
        <v>1494.8</v>
      </c>
      <c r="T39" s="143">
        <f>T38+T34+T31</f>
        <v>33.9</v>
      </c>
      <c r="U39" s="126">
        <f>U38+U34+U31</f>
        <v>3619</v>
      </c>
      <c r="V39" s="116">
        <f>V38+V34+V31</f>
        <v>3280.8</v>
      </c>
    </row>
    <row r="40" spans="1:23" ht="14.25" customHeight="1" thickBot="1">
      <c r="A40" s="127" t="s">
        <v>9</v>
      </c>
      <c r="B40" s="222" t="s">
        <v>13</v>
      </c>
      <c r="C40" s="478" t="s">
        <v>61</v>
      </c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80"/>
    </row>
    <row r="41" spans="1:23" ht="26.25" customHeight="1">
      <c r="A41" s="488" t="s">
        <v>9</v>
      </c>
      <c r="B41" s="220" t="s">
        <v>13</v>
      </c>
      <c r="C41" s="473" t="s">
        <v>9</v>
      </c>
      <c r="D41" s="541" t="s">
        <v>21</v>
      </c>
      <c r="E41" s="403"/>
      <c r="F41" s="414" t="s">
        <v>14</v>
      </c>
      <c r="G41" s="301" t="s">
        <v>75</v>
      </c>
      <c r="H41" s="109" t="s">
        <v>12</v>
      </c>
      <c r="I41" s="129">
        <f>+J41+L41</f>
        <v>50</v>
      </c>
      <c r="J41" s="101">
        <v>50</v>
      </c>
      <c r="K41" s="101"/>
      <c r="L41" s="102"/>
      <c r="M41" s="129">
        <f>N41+P41</f>
        <v>71</v>
      </c>
      <c r="N41" s="101">
        <v>71</v>
      </c>
      <c r="O41" s="181"/>
      <c r="P41" s="145"/>
      <c r="Q41" s="365">
        <f t="shared" ref="Q41:Q48" si="7">R41+T41</f>
        <v>39.1</v>
      </c>
      <c r="R41" s="344">
        <v>39.1</v>
      </c>
      <c r="S41" s="344"/>
      <c r="T41" s="366"/>
      <c r="U41" s="130">
        <v>50</v>
      </c>
      <c r="V41" s="130">
        <v>50</v>
      </c>
    </row>
    <row r="42" spans="1:23" ht="15.75" customHeight="1" thickBot="1">
      <c r="A42" s="489"/>
      <c r="B42" s="66"/>
      <c r="C42" s="474"/>
      <c r="D42" s="630"/>
      <c r="E42" s="404"/>
      <c r="F42" s="406"/>
      <c r="G42" s="425"/>
      <c r="H42" s="337" t="s">
        <v>16</v>
      </c>
      <c r="I42" s="390">
        <f>SUM(I41)</f>
        <v>50</v>
      </c>
      <c r="J42" s="388">
        <f>SUM(J41)</f>
        <v>50</v>
      </c>
      <c r="K42" s="388"/>
      <c r="L42" s="391"/>
      <c r="M42" s="390">
        <f>M41</f>
        <v>71</v>
      </c>
      <c r="N42" s="388">
        <f>N41</f>
        <v>71</v>
      </c>
      <c r="O42" s="388"/>
      <c r="P42" s="391"/>
      <c r="Q42" s="387">
        <f t="shared" si="7"/>
        <v>39.1</v>
      </c>
      <c r="R42" s="388">
        <f>SUM(R41)</f>
        <v>39.1</v>
      </c>
      <c r="S42" s="388"/>
      <c r="T42" s="389"/>
      <c r="U42" s="330">
        <f>SUM(U41)</f>
        <v>50</v>
      </c>
      <c r="V42" s="330">
        <f>SUM(V41)</f>
        <v>50</v>
      </c>
      <c r="W42" s="35"/>
    </row>
    <row r="43" spans="1:23" ht="14.25" customHeight="1">
      <c r="A43" s="488" t="s">
        <v>9</v>
      </c>
      <c r="B43" s="492" t="s">
        <v>13</v>
      </c>
      <c r="C43" s="586" t="s">
        <v>10</v>
      </c>
      <c r="D43" s="484" t="s">
        <v>151</v>
      </c>
      <c r="E43" s="485"/>
      <c r="F43" s="503" t="s">
        <v>14</v>
      </c>
      <c r="G43" s="513">
        <v>2</v>
      </c>
      <c r="H43" s="178" t="s">
        <v>12</v>
      </c>
      <c r="I43" s="67">
        <f>+J43+L43</f>
        <v>1100.5999999999999</v>
      </c>
      <c r="J43" s="68">
        <v>1100.5999999999999</v>
      </c>
      <c r="K43" s="68">
        <v>606.1</v>
      </c>
      <c r="L43" s="147"/>
      <c r="M43" s="182">
        <v>1282.3</v>
      </c>
      <c r="N43" s="183">
        <f>M43-P43</f>
        <v>1198.5999999999999</v>
      </c>
      <c r="O43" s="183">
        <v>609.9</v>
      </c>
      <c r="P43" s="110">
        <v>83.7</v>
      </c>
      <c r="Q43" s="465">
        <f t="shared" si="7"/>
        <v>1082.5999999999999</v>
      </c>
      <c r="R43" s="452">
        <f>1059.5+3.1</f>
        <v>1062.5999999999999</v>
      </c>
      <c r="S43" s="452">
        <f>579.4+2.3</f>
        <v>581.69999999999993</v>
      </c>
      <c r="T43" s="358">
        <v>20</v>
      </c>
      <c r="U43" s="176">
        <v>1415</v>
      </c>
      <c r="V43" s="176">
        <v>1532</v>
      </c>
    </row>
    <row r="44" spans="1:23" ht="14.25" customHeight="1">
      <c r="A44" s="497"/>
      <c r="B44" s="494"/>
      <c r="C44" s="490"/>
      <c r="D44" s="470"/>
      <c r="E44" s="486"/>
      <c r="F44" s="516"/>
      <c r="G44" s="495"/>
      <c r="H44" s="184" t="s">
        <v>42</v>
      </c>
      <c r="I44" s="103">
        <f>J44+L44</f>
        <v>118.9</v>
      </c>
      <c r="J44" s="104">
        <v>109.9</v>
      </c>
      <c r="K44" s="104">
        <v>55.6</v>
      </c>
      <c r="L44" s="105">
        <v>9</v>
      </c>
      <c r="M44" s="185">
        <f>N44+P44</f>
        <v>118.9</v>
      </c>
      <c r="N44" s="91">
        <v>115.9</v>
      </c>
      <c r="O44" s="91">
        <v>55.4</v>
      </c>
      <c r="P44" s="92">
        <v>3</v>
      </c>
      <c r="Q44" s="367">
        <f t="shared" si="7"/>
        <v>118.9</v>
      </c>
      <c r="R44" s="368">
        <v>115.9</v>
      </c>
      <c r="S44" s="368">
        <v>55.4</v>
      </c>
      <c r="T44" s="369">
        <v>3</v>
      </c>
      <c r="U44" s="93">
        <v>119</v>
      </c>
      <c r="V44" s="93">
        <v>119</v>
      </c>
    </row>
    <row r="45" spans="1:23" ht="14.25" customHeight="1" thickBot="1">
      <c r="A45" s="489"/>
      <c r="B45" s="493"/>
      <c r="C45" s="491"/>
      <c r="D45" s="471"/>
      <c r="E45" s="487"/>
      <c r="F45" s="504"/>
      <c r="G45" s="496"/>
      <c r="H45" s="337" t="s">
        <v>16</v>
      </c>
      <c r="I45" s="390">
        <f t="shared" ref="I45:P45" si="8">SUM(I43:I44)</f>
        <v>1219.5</v>
      </c>
      <c r="J45" s="388">
        <f t="shared" si="8"/>
        <v>1210.5</v>
      </c>
      <c r="K45" s="388">
        <f t="shared" si="8"/>
        <v>661.7</v>
      </c>
      <c r="L45" s="391">
        <f t="shared" si="8"/>
        <v>9</v>
      </c>
      <c r="M45" s="390">
        <f t="shared" si="8"/>
        <v>1401.2</v>
      </c>
      <c r="N45" s="388">
        <f t="shared" si="8"/>
        <v>1314.5</v>
      </c>
      <c r="O45" s="388">
        <f t="shared" si="8"/>
        <v>665.3</v>
      </c>
      <c r="P45" s="391">
        <f t="shared" si="8"/>
        <v>86.7</v>
      </c>
      <c r="Q45" s="390">
        <f t="shared" si="7"/>
        <v>1201.5</v>
      </c>
      <c r="R45" s="388">
        <f>SUM(R43:R44)</f>
        <v>1178.5</v>
      </c>
      <c r="S45" s="388">
        <f>SUM(S43:S44)</f>
        <v>637.09999999999991</v>
      </c>
      <c r="T45" s="391">
        <f>SUM(T43:T44)</f>
        <v>23</v>
      </c>
      <c r="U45" s="390">
        <f>SUM(U43:U44)</f>
        <v>1534</v>
      </c>
      <c r="V45" s="330">
        <f>SUM(V43:V44)</f>
        <v>1651</v>
      </c>
    </row>
    <row r="46" spans="1:23" ht="14.25" customHeight="1">
      <c r="A46" s="488" t="s">
        <v>9</v>
      </c>
      <c r="B46" s="492" t="s">
        <v>13</v>
      </c>
      <c r="C46" s="586" t="s">
        <v>11</v>
      </c>
      <c r="D46" s="481" t="s">
        <v>88</v>
      </c>
      <c r="E46" s="485"/>
      <c r="F46" s="503" t="s">
        <v>14</v>
      </c>
      <c r="G46" s="513">
        <v>2</v>
      </c>
      <c r="H46" s="109" t="s">
        <v>12</v>
      </c>
      <c r="I46" s="129">
        <f>+J46+L46</f>
        <v>588.9</v>
      </c>
      <c r="J46" s="101">
        <v>588.9</v>
      </c>
      <c r="K46" s="101">
        <v>279.39999999999998</v>
      </c>
      <c r="L46" s="102"/>
      <c r="M46" s="129">
        <f>+N46+P46</f>
        <v>770</v>
      </c>
      <c r="N46" s="101">
        <v>766.5</v>
      </c>
      <c r="O46" s="76">
        <v>288.3</v>
      </c>
      <c r="P46" s="204">
        <v>3.5</v>
      </c>
      <c r="Q46" s="343">
        <f t="shared" si="7"/>
        <v>662.9</v>
      </c>
      <c r="R46" s="444">
        <f>659+0.4</f>
        <v>659.4</v>
      </c>
      <c r="S46" s="444">
        <f>273.9+0.3</f>
        <v>274.2</v>
      </c>
      <c r="T46" s="345">
        <v>3.5</v>
      </c>
      <c r="U46" s="130">
        <v>947</v>
      </c>
      <c r="V46" s="130">
        <v>715</v>
      </c>
    </row>
    <row r="47" spans="1:23" ht="14.25" customHeight="1">
      <c r="A47" s="497"/>
      <c r="B47" s="494"/>
      <c r="C47" s="490"/>
      <c r="D47" s="482"/>
      <c r="E47" s="637"/>
      <c r="F47" s="516"/>
      <c r="G47" s="495"/>
      <c r="H47" s="30" t="s">
        <v>42</v>
      </c>
      <c r="I47" s="118">
        <f>J47+L47</f>
        <v>27</v>
      </c>
      <c r="J47" s="119">
        <v>27</v>
      </c>
      <c r="K47" s="119">
        <v>8.9</v>
      </c>
      <c r="L47" s="120"/>
      <c r="M47" s="215">
        <f>N47+P47</f>
        <v>20</v>
      </c>
      <c r="N47" s="205">
        <v>20</v>
      </c>
      <c r="O47" s="205"/>
      <c r="P47" s="206"/>
      <c r="Q47" s="346">
        <f t="shared" si="7"/>
        <v>20</v>
      </c>
      <c r="R47" s="347">
        <v>20</v>
      </c>
      <c r="S47" s="347"/>
      <c r="T47" s="348"/>
      <c r="U47" s="179">
        <v>20</v>
      </c>
      <c r="V47" s="179">
        <v>20</v>
      </c>
    </row>
    <row r="48" spans="1:23" ht="14.25" customHeight="1" thickBot="1">
      <c r="A48" s="489"/>
      <c r="B48" s="493"/>
      <c r="C48" s="491"/>
      <c r="D48" s="483"/>
      <c r="E48" s="638"/>
      <c r="F48" s="504"/>
      <c r="G48" s="496"/>
      <c r="H48" s="338" t="s">
        <v>16</v>
      </c>
      <c r="I48" s="329">
        <f>SUM(I46:I47)</f>
        <v>615.9</v>
      </c>
      <c r="J48" s="388">
        <f>SUM(J46:J47)</f>
        <v>615.9</v>
      </c>
      <c r="K48" s="388">
        <f>SUM(K46:K47)</f>
        <v>288.29999999999995</v>
      </c>
      <c r="L48" s="387"/>
      <c r="M48" s="329">
        <f>SUM(M46:M47)</f>
        <v>790</v>
      </c>
      <c r="N48" s="388">
        <f>SUM(N46:N47)</f>
        <v>786.5</v>
      </c>
      <c r="O48" s="388">
        <f>SUM(O46:O47)</f>
        <v>288.3</v>
      </c>
      <c r="P48" s="387">
        <f>SUM(P46:P47)</f>
        <v>3.5</v>
      </c>
      <c r="Q48" s="329">
        <f t="shared" si="7"/>
        <v>682.9</v>
      </c>
      <c r="R48" s="388">
        <f>SUM(R46:R47)</f>
        <v>679.4</v>
      </c>
      <c r="S48" s="388">
        <f>SUM(S46:S47)</f>
        <v>274.2</v>
      </c>
      <c r="T48" s="387">
        <f>SUM(T46:T47)</f>
        <v>3.5</v>
      </c>
      <c r="U48" s="390">
        <f>SUM(U46:U47)</f>
        <v>967</v>
      </c>
      <c r="V48" s="330">
        <f>SUM(V46:V47)</f>
        <v>735</v>
      </c>
      <c r="W48" s="149"/>
    </row>
    <row r="49" spans="1:22" ht="14.25" customHeight="1" thickBot="1">
      <c r="A49" s="127" t="s">
        <v>9</v>
      </c>
      <c r="B49" s="221" t="s">
        <v>13</v>
      </c>
      <c r="C49" s="472" t="s">
        <v>15</v>
      </c>
      <c r="D49" s="468"/>
      <c r="E49" s="468"/>
      <c r="F49" s="468"/>
      <c r="G49" s="468"/>
      <c r="H49" s="468"/>
      <c r="I49" s="124">
        <f t="shared" ref="I49:V49" si="9">I48+I45+I42</f>
        <v>1885.4</v>
      </c>
      <c r="J49" s="122">
        <f t="shared" si="9"/>
        <v>1876.4</v>
      </c>
      <c r="K49" s="122">
        <f t="shared" si="9"/>
        <v>950</v>
      </c>
      <c r="L49" s="151">
        <f t="shared" si="9"/>
        <v>9</v>
      </c>
      <c r="M49" s="124">
        <f t="shared" si="9"/>
        <v>2262.1999999999998</v>
      </c>
      <c r="N49" s="122">
        <f t="shared" si="9"/>
        <v>2172</v>
      </c>
      <c r="O49" s="122">
        <f t="shared" si="9"/>
        <v>953.59999999999991</v>
      </c>
      <c r="P49" s="150">
        <f t="shared" si="9"/>
        <v>90.2</v>
      </c>
      <c r="Q49" s="124">
        <f t="shared" si="9"/>
        <v>1923.5</v>
      </c>
      <c r="R49" s="122">
        <f t="shared" si="9"/>
        <v>1897</v>
      </c>
      <c r="S49" s="122">
        <f t="shared" si="9"/>
        <v>911.3</v>
      </c>
      <c r="T49" s="151">
        <f t="shared" si="9"/>
        <v>26.5</v>
      </c>
      <c r="U49" s="121">
        <f t="shared" si="9"/>
        <v>2551</v>
      </c>
      <c r="V49" s="116">
        <f t="shared" si="9"/>
        <v>2436</v>
      </c>
    </row>
    <row r="50" spans="1:22" ht="14.25" customHeight="1" thickBot="1">
      <c r="A50" s="127" t="s">
        <v>9</v>
      </c>
      <c r="B50" s="224" t="s">
        <v>104</v>
      </c>
      <c r="C50" s="500" t="s">
        <v>103</v>
      </c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2"/>
    </row>
    <row r="51" spans="1:22" ht="15" customHeight="1">
      <c r="A51" s="157" t="s">
        <v>9</v>
      </c>
      <c r="B51" s="220" t="s">
        <v>104</v>
      </c>
      <c r="C51" s="586" t="s">
        <v>9</v>
      </c>
      <c r="D51" s="589" t="s">
        <v>73</v>
      </c>
      <c r="E51" s="627" t="s">
        <v>22</v>
      </c>
      <c r="F51" s="510" t="s">
        <v>14</v>
      </c>
      <c r="G51" s="633" t="s">
        <v>74</v>
      </c>
      <c r="H51" s="228" t="s">
        <v>147</v>
      </c>
      <c r="I51" s="136">
        <f>J51+L51</f>
        <v>200</v>
      </c>
      <c r="J51" s="152"/>
      <c r="K51" s="152"/>
      <c r="L51" s="160">
        <v>200</v>
      </c>
      <c r="M51" s="167">
        <f>N51+P51</f>
        <v>500</v>
      </c>
      <c r="N51" s="168"/>
      <c r="O51" s="169"/>
      <c r="P51" s="170">
        <v>500</v>
      </c>
      <c r="Q51" s="340">
        <f>R51+T51</f>
        <v>500</v>
      </c>
      <c r="R51" s="341"/>
      <c r="S51" s="341"/>
      <c r="T51" s="375">
        <v>500</v>
      </c>
      <c r="U51" s="59"/>
      <c r="V51" s="125"/>
    </row>
    <row r="52" spans="1:22" ht="15" customHeight="1">
      <c r="A52" s="158"/>
      <c r="B52" s="447"/>
      <c r="C52" s="490"/>
      <c r="D52" s="590"/>
      <c r="E52" s="498"/>
      <c r="F52" s="631"/>
      <c r="G52" s="634"/>
      <c r="H52" s="461" t="s">
        <v>12</v>
      </c>
      <c r="I52" s="106"/>
      <c r="J52" s="53"/>
      <c r="K52" s="53"/>
      <c r="L52" s="50"/>
      <c r="M52" s="82"/>
      <c r="N52" s="83"/>
      <c r="O52" s="84"/>
      <c r="P52" s="85"/>
      <c r="Q52" s="440">
        <f>R52+T52</f>
        <v>49.7</v>
      </c>
      <c r="R52" s="441"/>
      <c r="S52" s="441"/>
      <c r="T52" s="437">
        <v>49.7</v>
      </c>
      <c r="U52" s="439"/>
      <c r="V52" s="87"/>
    </row>
    <row r="53" spans="1:22" ht="15" customHeight="1">
      <c r="A53" s="231"/>
      <c r="B53" s="242"/>
      <c r="C53" s="632"/>
      <c r="D53" s="590"/>
      <c r="E53" s="628"/>
      <c r="F53" s="632"/>
      <c r="G53" s="635"/>
      <c r="H53" s="60" t="s">
        <v>116</v>
      </c>
      <c r="I53" s="106">
        <f>J53+L53</f>
        <v>1825.4</v>
      </c>
      <c r="J53" s="53"/>
      <c r="K53" s="53"/>
      <c r="L53" s="50">
        <v>1825.4</v>
      </c>
      <c r="M53" s="61">
        <f>N53+P53</f>
        <v>1905.8</v>
      </c>
      <c r="N53" s="62"/>
      <c r="O53" s="63"/>
      <c r="P53" s="64">
        <v>1905.8</v>
      </c>
      <c r="Q53" s="462">
        <f>R53+T53</f>
        <v>513.20000000000005</v>
      </c>
      <c r="R53" s="463"/>
      <c r="S53" s="463"/>
      <c r="T53" s="464">
        <f>513.2+300-300</f>
        <v>513.20000000000005</v>
      </c>
      <c r="U53" s="65"/>
      <c r="V53" s="113"/>
    </row>
    <row r="54" spans="1:22" ht="15" customHeight="1" thickBot="1">
      <c r="A54" s="232"/>
      <c r="B54" s="243"/>
      <c r="C54" s="588"/>
      <c r="D54" s="591"/>
      <c r="E54" s="629"/>
      <c r="F54" s="588"/>
      <c r="G54" s="636"/>
      <c r="H54" s="337" t="s">
        <v>16</v>
      </c>
      <c r="I54" s="389">
        <f>SUM(I51:I53)</f>
        <v>2025.4</v>
      </c>
      <c r="J54" s="388"/>
      <c r="K54" s="385"/>
      <c r="L54" s="391">
        <f>SUM(L51:L53)</f>
        <v>2025.4</v>
      </c>
      <c r="M54" s="390">
        <f>SUM(M51:M53)</f>
        <v>2405.8000000000002</v>
      </c>
      <c r="N54" s="388"/>
      <c r="O54" s="388"/>
      <c r="P54" s="391">
        <f>SUM(P51:P53)</f>
        <v>2405.8000000000002</v>
      </c>
      <c r="Q54" s="389">
        <f>R54+T54</f>
        <v>1062.9000000000001</v>
      </c>
      <c r="R54" s="388"/>
      <c r="S54" s="385"/>
      <c r="T54" s="391">
        <f>SUM(T51:T53)</f>
        <v>1062.9000000000001</v>
      </c>
      <c r="U54" s="389"/>
      <c r="V54" s="330"/>
    </row>
    <row r="55" spans="1:22" ht="21.75" customHeight="1">
      <c r="A55" s="230" t="s">
        <v>9</v>
      </c>
      <c r="B55" s="241" t="s">
        <v>104</v>
      </c>
      <c r="C55" s="586" t="s">
        <v>10</v>
      </c>
      <c r="D55" s="541" t="s">
        <v>112</v>
      </c>
      <c r="E55" s="407"/>
      <c r="F55" s="418" t="s">
        <v>14</v>
      </c>
      <c r="G55" s="426" t="s">
        <v>113</v>
      </c>
      <c r="H55" s="88" t="s">
        <v>12</v>
      </c>
      <c r="I55" s="148"/>
      <c r="J55" s="104"/>
      <c r="K55" s="104"/>
      <c r="L55" s="105"/>
      <c r="M55" s="89">
        <f>N55+P55</f>
        <v>41</v>
      </c>
      <c r="N55" s="90">
        <v>41</v>
      </c>
      <c r="O55" s="91"/>
      <c r="P55" s="92"/>
      <c r="Q55" s="376"/>
      <c r="R55" s="368"/>
      <c r="S55" s="368"/>
      <c r="T55" s="369"/>
      <c r="U55" s="171"/>
      <c r="V55" s="93"/>
    </row>
    <row r="56" spans="1:22" ht="18.75" customHeight="1" thickBot="1">
      <c r="A56" s="232"/>
      <c r="B56" s="243"/>
      <c r="C56" s="491"/>
      <c r="D56" s="630"/>
      <c r="E56" s="409"/>
      <c r="F56" s="434"/>
      <c r="G56" s="417"/>
      <c r="H56" s="337" t="s">
        <v>16</v>
      </c>
      <c r="I56" s="387"/>
      <c r="J56" s="388"/>
      <c r="K56" s="388"/>
      <c r="L56" s="391"/>
      <c r="M56" s="390">
        <f>SUM(M55:M55)</f>
        <v>41</v>
      </c>
      <c r="N56" s="388">
        <f>SUM(N55:N55)</f>
        <v>41</v>
      </c>
      <c r="O56" s="388"/>
      <c r="P56" s="391"/>
      <c r="Q56" s="387"/>
      <c r="R56" s="388"/>
      <c r="S56" s="388"/>
      <c r="T56" s="391"/>
      <c r="U56" s="386"/>
      <c r="V56" s="386"/>
    </row>
    <row r="57" spans="1:22" ht="14.25" customHeight="1">
      <c r="A57" s="231" t="s">
        <v>9</v>
      </c>
      <c r="B57" s="242" t="s">
        <v>104</v>
      </c>
      <c r="C57" s="586" t="s">
        <v>11</v>
      </c>
      <c r="D57" s="587" t="s">
        <v>82</v>
      </c>
      <c r="E57" s="408" t="s">
        <v>22</v>
      </c>
      <c r="F57" s="433" t="s">
        <v>14</v>
      </c>
      <c r="G57" s="427" t="s">
        <v>75</v>
      </c>
      <c r="H57" s="88" t="s">
        <v>32</v>
      </c>
      <c r="I57" s="148"/>
      <c r="J57" s="104"/>
      <c r="K57" s="104"/>
      <c r="L57" s="105"/>
      <c r="M57" s="89"/>
      <c r="N57" s="90"/>
      <c r="O57" s="91"/>
      <c r="P57" s="92"/>
      <c r="Q57" s="376"/>
      <c r="R57" s="368"/>
      <c r="S57" s="368"/>
      <c r="T57" s="369"/>
      <c r="U57" s="171">
        <v>50</v>
      </c>
      <c r="V57" s="93">
        <v>50</v>
      </c>
    </row>
    <row r="58" spans="1:22" ht="14.25" customHeight="1">
      <c r="A58" s="231"/>
      <c r="B58" s="242"/>
      <c r="C58" s="490"/>
      <c r="D58" s="587"/>
      <c r="E58" s="408"/>
      <c r="F58" s="433"/>
      <c r="G58" s="427"/>
      <c r="H58" s="131" t="s">
        <v>43</v>
      </c>
      <c r="I58" s="161"/>
      <c r="J58" s="100"/>
      <c r="K58" s="100"/>
      <c r="L58" s="117"/>
      <c r="M58" s="82"/>
      <c r="N58" s="83"/>
      <c r="O58" s="162"/>
      <c r="P58" s="163"/>
      <c r="Q58" s="377"/>
      <c r="R58" s="354"/>
      <c r="S58" s="354"/>
      <c r="T58" s="355"/>
      <c r="U58" s="172"/>
      <c r="V58" s="172">
        <v>2000</v>
      </c>
    </row>
    <row r="59" spans="1:22" ht="14.25" customHeight="1" thickBot="1">
      <c r="A59" s="231"/>
      <c r="B59" s="242"/>
      <c r="C59" s="491"/>
      <c r="D59" s="587"/>
      <c r="E59" s="408"/>
      <c r="F59" s="433"/>
      <c r="G59" s="416"/>
      <c r="H59" s="337" t="s">
        <v>16</v>
      </c>
      <c r="I59" s="387"/>
      <c r="J59" s="388"/>
      <c r="K59" s="388"/>
      <c r="L59" s="391"/>
      <c r="M59" s="390"/>
      <c r="N59" s="388"/>
      <c r="O59" s="388"/>
      <c r="P59" s="391"/>
      <c r="Q59" s="387"/>
      <c r="R59" s="388"/>
      <c r="S59" s="388"/>
      <c r="T59" s="391"/>
      <c r="U59" s="386">
        <f>SUM(U57:U58)</f>
        <v>50</v>
      </c>
      <c r="V59" s="386">
        <f>SUM(V57:V58)</f>
        <v>2050</v>
      </c>
    </row>
    <row r="60" spans="1:22" ht="14.25" customHeight="1">
      <c r="A60" s="230" t="s">
        <v>9</v>
      </c>
      <c r="B60" s="241" t="s">
        <v>104</v>
      </c>
      <c r="C60" s="586" t="s">
        <v>13</v>
      </c>
      <c r="D60" s="589" t="s">
        <v>146</v>
      </c>
      <c r="E60" s="627" t="s">
        <v>22</v>
      </c>
      <c r="F60" s="418" t="s">
        <v>14</v>
      </c>
      <c r="G60" s="428" t="s">
        <v>74</v>
      </c>
      <c r="H60" s="228" t="s">
        <v>116</v>
      </c>
      <c r="I60" s="252">
        <f>J60+L60</f>
        <v>204.7</v>
      </c>
      <c r="J60" s="119"/>
      <c r="K60" s="80"/>
      <c r="L60" s="216">
        <v>204.7</v>
      </c>
      <c r="M60" s="75">
        <f>N60+P60</f>
        <v>0.3</v>
      </c>
      <c r="N60" s="76"/>
      <c r="O60" s="74"/>
      <c r="P60" s="77">
        <v>0.3</v>
      </c>
      <c r="Q60" s="443">
        <f>R60+T60</f>
        <v>205.8</v>
      </c>
      <c r="R60" s="444"/>
      <c r="S60" s="445"/>
      <c r="T60" s="446">
        <f>0.3+205.5</f>
        <v>205.8</v>
      </c>
      <c r="U60" s="86"/>
      <c r="V60" s="213"/>
    </row>
    <row r="61" spans="1:22" ht="14.25" customHeight="1">
      <c r="A61" s="231"/>
      <c r="B61" s="242"/>
      <c r="C61" s="490"/>
      <c r="D61" s="590"/>
      <c r="E61" s="498"/>
      <c r="F61" s="433"/>
      <c r="G61" s="429"/>
      <c r="H61" s="73" t="s">
        <v>43</v>
      </c>
      <c r="I61" s="253">
        <f>J61+L61</f>
        <v>546.13199999999995</v>
      </c>
      <c r="J61" s="100"/>
      <c r="K61" s="86"/>
      <c r="L61" s="254">
        <v>546.13199999999995</v>
      </c>
      <c r="M61" s="78">
        <f>N61+P61</f>
        <v>32</v>
      </c>
      <c r="N61" s="79"/>
      <c r="O61" s="51"/>
      <c r="P61" s="52">
        <v>32</v>
      </c>
      <c r="Q61" s="378">
        <f>R61+T61</f>
        <v>32</v>
      </c>
      <c r="R61" s="347"/>
      <c r="S61" s="350"/>
      <c r="T61" s="357">
        <v>32</v>
      </c>
      <c r="U61" s="80"/>
      <c r="V61" s="81"/>
    </row>
    <row r="62" spans="1:22" ht="14.25" customHeight="1">
      <c r="A62" s="231"/>
      <c r="B62" s="242"/>
      <c r="C62" s="490"/>
      <c r="D62" s="590"/>
      <c r="E62" s="498"/>
      <c r="F62" s="433"/>
      <c r="G62" s="429"/>
      <c r="H62" s="30" t="s">
        <v>24</v>
      </c>
      <c r="I62" s="235"/>
      <c r="J62" s="234"/>
      <c r="K62" s="234"/>
      <c r="L62" s="236"/>
      <c r="M62" s="82">
        <f>N62+P62</f>
        <v>5.7</v>
      </c>
      <c r="N62" s="83"/>
      <c r="O62" s="84"/>
      <c r="P62" s="85">
        <v>5.7</v>
      </c>
      <c r="Q62" s="379">
        <f>R62+T62</f>
        <v>5.7</v>
      </c>
      <c r="R62" s="354"/>
      <c r="S62" s="380"/>
      <c r="T62" s="381">
        <v>5.7</v>
      </c>
      <c r="U62" s="86"/>
      <c r="V62" s="87"/>
    </row>
    <row r="63" spans="1:22" ht="14.25" customHeight="1" thickBot="1">
      <c r="A63" s="233"/>
      <c r="B63" s="243"/>
      <c r="C63" s="588"/>
      <c r="D63" s="591"/>
      <c r="E63" s="506"/>
      <c r="F63" s="434"/>
      <c r="G63" s="430"/>
      <c r="H63" s="337" t="s">
        <v>16</v>
      </c>
      <c r="I63" s="385">
        <f>SUM(I60:I61)</f>
        <v>750.83199999999988</v>
      </c>
      <c r="J63" s="388"/>
      <c r="K63" s="385"/>
      <c r="L63" s="389">
        <f>SUM(L60:L61)</f>
        <v>750.83199999999988</v>
      </c>
      <c r="M63" s="390">
        <f>N63+P63</f>
        <v>38</v>
      </c>
      <c r="N63" s="388"/>
      <c r="O63" s="388"/>
      <c r="P63" s="391">
        <f>SUM(P60:P62)</f>
        <v>38</v>
      </c>
      <c r="Q63" s="389">
        <f>R63+T63</f>
        <v>243.5</v>
      </c>
      <c r="R63" s="388"/>
      <c r="S63" s="385"/>
      <c r="T63" s="391">
        <f>SUM(T60:T62)</f>
        <v>243.5</v>
      </c>
      <c r="U63" s="391"/>
      <c r="V63" s="391"/>
    </row>
    <row r="64" spans="1:22" ht="14.25" customHeight="1">
      <c r="A64" s="230" t="s">
        <v>9</v>
      </c>
      <c r="B64" s="241" t="s">
        <v>104</v>
      </c>
      <c r="C64" s="586" t="s">
        <v>104</v>
      </c>
      <c r="D64" s="671" t="s">
        <v>30</v>
      </c>
      <c r="E64" s="622" t="s">
        <v>22</v>
      </c>
      <c r="F64" s="435" t="s">
        <v>14</v>
      </c>
      <c r="G64" s="431" t="s">
        <v>74</v>
      </c>
      <c r="H64" s="250" t="s">
        <v>116</v>
      </c>
      <c r="I64" s="255">
        <f>J64+L64</f>
        <v>692.7</v>
      </c>
      <c r="J64" s="256"/>
      <c r="K64" s="257"/>
      <c r="L64" s="258">
        <v>692.7</v>
      </c>
      <c r="M64" s="251"/>
      <c r="N64" s="68"/>
      <c r="O64" s="69"/>
      <c r="P64" s="70"/>
      <c r="Q64" s="382"/>
      <c r="R64" s="383"/>
      <c r="S64" s="382"/>
      <c r="T64" s="384"/>
      <c r="U64" s="71"/>
      <c r="V64" s="71"/>
    </row>
    <row r="65" spans="1:22" ht="14.25" customHeight="1" thickBot="1">
      <c r="A65" s="232"/>
      <c r="B65" s="243"/>
      <c r="C65" s="512"/>
      <c r="D65" s="672"/>
      <c r="E65" s="623"/>
      <c r="F65" s="436"/>
      <c r="G65" s="432"/>
      <c r="H65" s="370" t="s">
        <v>16</v>
      </c>
      <c r="I65" s="371">
        <f>SUM(I64:I64)</f>
        <v>692.7</v>
      </c>
      <c r="J65" s="372"/>
      <c r="K65" s="373"/>
      <c r="L65" s="374">
        <f>SUM(L64:L64)</f>
        <v>692.7</v>
      </c>
      <c r="M65" s="385"/>
      <c r="N65" s="388"/>
      <c r="O65" s="388"/>
      <c r="P65" s="386"/>
      <c r="Q65" s="389"/>
      <c r="R65" s="388"/>
      <c r="S65" s="385"/>
      <c r="T65" s="391"/>
      <c r="U65" s="391"/>
      <c r="V65" s="391"/>
    </row>
    <row r="66" spans="1:22" ht="14.25" customHeight="1" thickBot="1">
      <c r="A66" s="58" t="s">
        <v>9</v>
      </c>
      <c r="B66" s="244" t="s">
        <v>104</v>
      </c>
      <c r="C66" s="673" t="s">
        <v>15</v>
      </c>
      <c r="D66" s="674"/>
      <c r="E66" s="674"/>
      <c r="F66" s="674"/>
      <c r="G66" s="674"/>
      <c r="H66" s="675"/>
      <c r="I66" s="108">
        <f>I63+I65+I54+I59</f>
        <v>3468.9319999999998</v>
      </c>
      <c r="J66" s="115"/>
      <c r="K66" s="108"/>
      <c r="L66" s="142">
        <f>L63+L65+L54+L59</f>
        <v>3468.9319999999998</v>
      </c>
      <c r="M66" s="114">
        <f>M56+M54+M63</f>
        <v>2484.8000000000002</v>
      </c>
      <c r="N66" s="126">
        <f>N56</f>
        <v>41</v>
      </c>
      <c r="O66" s="115"/>
      <c r="P66" s="143">
        <f>P63+P65+P54+P59</f>
        <v>2443.8000000000002</v>
      </c>
      <c r="Q66" s="108">
        <f>Q63+Q65+Q54+Q59</f>
        <v>1306.4000000000001</v>
      </c>
      <c r="R66" s="115"/>
      <c r="S66" s="108"/>
      <c r="T66" s="142">
        <f>T63+T65+T54+T59</f>
        <v>1306.4000000000001</v>
      </c>
      <c r="U66" s="116">
        <f>U63+U65+U54+U59</f>
        <v>50</v>
      </c>
      <c r="V66" s="94">
        <f>V63+V65+V54+V59</f>
        <v>2050</v>
      </c>
    </row>
    <row r="67" spans="1:22" ht="14.25" customHeight="1" thickBot="1">
      <c r="A67" s="58" t="s">
        <v>9</v>
      </c>
      <c r="B67" s="685" t="s">
        <v>17</v>
      </c>
      <c r="C67" s="685"/>
      <c r="D67" s="685"/>
      <c r="E67" s="685"/>
      <c r="F67" s="685"/>
      <c r="G67" s="685"/>
      <c r="H67" s="686"/>
      <c r="I67" s="164">
        <f t="shared" ref="I67:V67" si="10">I66+I49+I39+I27+I17</f>
        <v>12874.132</v>
      </c>
      <c r="J67" s="164">
        <f t="shared" si="10"/>
        <v>9372.8999999999978</v>
      </c>
      <c r="K67" s="164">
        <f t="shared" si="10"/>
        <v>4436.8999999999996</v>
      </c>
      <c r="L67" s="165">
        <f t="shared" si="10"/>
        <v>3501.232</v>
      </c>
      <c r="M67" s="95">
        <f t="shared" si="10"/>
        <v>15637.5</v>
      </c>
      <c r="N67" s="164">
        <f t="shared" si="10"/>
        <v>12983.4</v>
      </c>
      <c r="O67" s="164">
        <f t="shared" si="10"/>
        <v>4494.7</v>
      </c>
      <c r="P67" s="144">
        <f t="shared" si="10"/>
        <v>2654.1000000000004</v>
      </c>
      <c r="Q67" s="164">
        <f t="shared" si="10"/>
        <v>11230.800000000001</v>
      </c>
      <c r="R67" s="164">
        <f t="shared" si="10"/>
        <v>9844.1</v>
      </c>
      <c r="S67" s="164">
        <f t="shared" si="10"/>
        <v>4305.3999999999996</v>
      </c>
      <c r="T67" s="164">
        <f t="shared" si="10"/>
        <v>1386.7000000000003</v>
      </c>
      <c r="U67" s="214">
        <f t="shared" si="10"/>
        <v>11258</v>
      </c>
      <c r="V67" s="144">
        <f t="shared" si="10"/>
        <v>12860.8</v>
      </c>
    </row>
    <row r="68" spans="1:22" ht="14.25" customHeight="1" thickBot="1">
      <c r="A68" s="237" t="s">
        <v>14</v>
      </c>
      <c r="B68" s="676" t="s">
        <v>18</v>
      </c>
      <c r="C68" s="676"/>
      <c r="D68" s="676"/>
      <c r="E68" s="676"/>
      <c r="F68" s="676"/>
      <c r="G68" s="676"/>
      <c r="H68" s="677"/>
      <c r="I68" s="156">
        <f>I67</f>
        <v>12874.132</v>
      </c>
      <c r="J68" s="156">
        <f t="shared" ref="J68:V68" si="11">J67</f>
        <v>9372.8999999999978</v>
      </c>
      <c r="K68" s="156">
        <f t="shared" si="11"/>
        <v>4436.8999999999996</v>
      </c>
      <c r="L68" s="225">
        <f t="shared" si="11"/>
        <v>3501.232</v>
      </c>
      <c r="M68" s="227">
        <f>M67</f>
        <v>15637.5</v>
      </c>
      <c r="N68" s="156">
        <f t="shared" si="11"/>
        <v>12983.4</v>
      </c>
      <c r="O68" s="156">
        <f t="shared" si="11"/>
        <v>4494.7</v>
      </c>
      <c r="P68" s="28">
        <f t="shared" si="11"/>
        <v>2654.1000000000004</v>
      </c>
      <c r="Q68" s="226">
        <f t="shared" si="11"/>
        <v>11230.800000000001</v>
      </c>
      <c r="R68" s="156">
        <f t="shared" si="11"/>
        <v>9844.1</v>
      </c>
      <c r="S68" s="156">
        <f t="shared" si="11"/>
        <v>4305.3999999999996</v>
      </c>
      <c r="T68" s="156">
        <f t="shared" si="11"/>
        <v>1386.7000000000003</v>
      </c>
      <c r="U68" s="31">
        <f t="shared" si="11"/>
        <v>11258</v>
      </c>
      <c r="V68" s="229">
        <f t="shared" si="11"/>
        <v>12860.8</v>
      </c>
    </row>
    <row r="69" spans="1:22" ht="15" customHeight="1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453"/>
      <c r="R69" s="451"/>
      <c r="S69" s="451"/>
      <c r="T69" s="451"/>
      <c r="U69" s="303"/>
      <c r="V69" s="303"/>
    </row>
    <row r="70" spans="1:22" ht="15.75" customHeight="1">
      <c r="A70" s="684" t="s">
        <v>33</v>
      </c>
      <c r="B70" s="684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5"/>
      <c r="V70" s="5"/>
    </row>
    <row r="71" spans="1:22" ht="13.5" customHeight="1" thickBot="1">
      <c r="A71" s="3"/>
      <c r="B71" s="4"/>
      <c r="C71" s="4"/>
      <c r="D71" s="4"/>
      <c r="E71" s="4"/>
      <c r="F71" s="4"/>
      <c r="G71" s="33"/>
      <c r="H71" s="34"/>
      <c r="I71" s="34"/>
      <c r="J71" s="34"/>
      <c r="K71" s="34"/>
      <c r="L71" s="34"/>
      <c r="M71" s="34"/>
      <c r="N71" s="34"/>
      <c r="O71" s="34"/>
      <c r="P71" s="34"/>
      <c r="Q71" s="661" t="s">
        <v>70</v>
      </c>
      <c r="R71" s="661"/>
      <c r="S71" s="661"/>
      <c r="T71" s="661"/>
      <c r="U71" s="2"/>
      <c r="V71" s="2"/>
    </row>
    <row r="72" spans="1:22" ht="29.25" customHeight="1">
      <c r="A72" s="665" t="s">
        <v>23</v>
      </c>
      <c r="B72" s="666"/>
      <c r="C72" s="666"/>
      <c r="D72" s="666"/>
      <c r="E72" s="666"/>
      <c r="F72" s="666"/>
      <c r="G72" s="666"/>
      <c r="H72" s="667"/>
      <c r="I72" s="662" t="s">
        <v>77</v>
      </c>
      <c r="J72" s="663"/>
      <c r="K72" s="663"/>
      <c r="L72" s="664"/>
      <c r="M72" s="662" t="s">
        <v>159</v>
      </c>
      <c r="N72" s="663"/>
      <c r="O72" s="663"/>
      <c r="P72" s="683"/>
      <c r="Q72" s="658" t="s">
        <v>78</v>
      </c>
      <c r="R72" s="659"/>
      <c r="S72" s="659"/>
      <c r="T72" s="660"/>
      <c r="U72" s="9"/>
      <c r="V72" s="9"/>
    </row>
    <row r="73" spans="1:22" ht="13.5" customHeight="1">
      <c r="A73" s="551" t="s">
        <v>67</v>
      </c>
      <c r="B73" s="552"/>
      <c r="C73" s="552"/>
      <c r="D73" s="552"/>
      <c r="E73" s="552"/>
      <c r="F73" s="552"/>
      <c r="G73" s="552"/>
      <c r="H73" s="553"/>
      <c r="I73" s="681">
        <f>SUM(I74:L78)</f>
        <v>12328</v>
      </c>
      <c r="J73" s="681"/>
      <c r="K73" s="681"/>
      <c r="L73" s="682"/>
      <c r="M73" s="681">
        <f>SUM(M74:P78)</f>
        <v>13546.1</v>
      </c>
      <c r="N73" s="681"/>
      <c r="O73" s="681"/>
      <c r="P73" s="682"/>
      <c r="Q73" s="681">
        <f>SUM(Q74:T78)</f>
        <v>11193.100000000002</v>
      </c>
      <c r="R73" s="681"/>
      <c r="S73" s="681"/>
      <c r="T73" s="682"/>
      <c r="U73" s="10"/>
      <c r="V73" s="10"/>
    </row>
    <row r="74" spans="1:22" ht="13.5" customHeight="1">
      <c r="A74" s="548" t="s">
        <v>34</v>
      </c>
      <c r="B74" s="549"/>
      <c r="C74" s="549"/>
      <c r="D74" s="549"/>
      <c r="E74" s="549"/>
      <c r="F74" s="549"/>
      <c r="G74" s="549"/>
      <c r="H74" s="550"/>
      <c r="I74" s="613">
        <f>SUMIF(H12:H64,"sb",I12:I64)</f>
        <v>8377.2999999999993</v>
      </c>
      <c r="J74" s="613"/>
      <c r="K74" s="613"/>
      <c r="L74" s="614"/>
      <c r="M74" s="609">
        <f>SUMIF(H10:H64,"SB",M10:M64)</f>
        <v>10118.4</v>
      </c>
      <c r="N74" s="599"/>
      <c r="O74" s="599"/>
      <c r="P74" s="610"/>
      <c r="Q74" s="598">
        <f>SUMIF(H10:H65,"sb",Q10:Q65)</f>
        <v>8906.3000000000011</v>
      </c>
      <c r="R74" s="599"/>
      <c r="S74" s="599"/>
      <c r="T74" s="600"/>
      <c r="U74" s="10"/>
      <c r="V74" s="10"/>
    </row>
    <row r="75" spans="1:22" ht="25.5" customHeight="1">
      <c r="A75" s="678" t="s">
        <v>66</v>
      </c>
      <c r="B75" s="679"/>
      <c r="C75" s="679"/>
      <c r="D75" s="679"/>
      <c r="E75" s="679"/>
      <c r="F75" s="679"/>
      <c r="G75" s="679"/>
      <c r="H75" s="680"/>
      <c r="I75" s="648">
        <f>SUMIF(H10:H64,"SB(SP)",I10:I64)</f>
        <v>1027.9000000000001</v>
      </c>
      <c r="J75" s="648"/>
      <c r="K75" s="648"/>
      <c r="L75" s="649"/>
      <c r="M75" s="650">
        <f>SUMIF(H10:H64,"SB(SP)",M10:M64)</f>
        <v>1021.6</v>
      </c>
      <c r="N75" s="645"/>
      <c r="O75" s="645"/>
      <c r="P75" s="651"/>
      <c r="Q75" s="644">
        <f>SUMIF(H12:H64,"sb(sp)",Q12:Q65)</f>
        <v>1067.8000000000002</v>
      </c>
      <c r="R75" s="645"/>
      <c r="S75" s="645"/>
      <c r="T75" s="646"/>
      <c r="U75" s="10"/>
      <c r="V75" s="10"/>
    </row>
    <row r="76" spans="1:22" s="26" customFormat="1" ht="13.5" customHeight="1">
      <c r="A76" s="639" t="s">
        <v>144</v>
      </c>
      <c r="B76" s="640"/>
      <c r="C76" s="640"/>
      <c r="D76" s="640"/>
      <c r="E76" s="640"/>
      <c r="F76" s="640"/>
      <c r="G76" s="640"/>
      <c r="H76" s="641"/>
      <c r="I76" s="648">
        <f>SUMIF(H12:H64,"sb(vb)",I12:I64)</f>
        <v>200</v>
      </c>
      <c r="J76" s="648"/>
      <c r="K76" s="648"/>
      <c r="L76" s="649"/>
      <c r="M76" s="647">
        <f>SUMIF(H12:H64,"sb(vb)",M12:M64)</f>
        <v>500</v>
      </c>
      <c r="N76" s="648"/>
      <c r="O76" s="648"/>
      <c r="P76" s="649"/>
      <c r="Q76" s="655">
        <f>SUMIF(H12:H64,"sb(vb)",Q12:Q64)</f>
        <v>500</v>
      </c>
      <c r="R76" s="656"/>
      <c r="S76" s="656"/>
      <c r="T76" s="657"/>
      <c r="U76" s="297"/>
      <c r="V76" s="298"/>
    </row>
    <row r="77" spans="1:22" ht="13.5" customHeight="1">
      <c r="A77" s="652" t="s">
        <v>117</v>
      </c>
      <c r="B77" s="653"/>
      <c r="C77" s="653"/>
      <c r="D77" s="653"/>
      <c r="E77" s="653"/>
      <c r="F77" s="653"/>
      <c r="G77" s="653"/>
      <c r="H77" s="654"/>
      <c r="I77" s="647">
        <f>SUMIF(H10:H64,"sb(P)",I10:I64)</f>
        <v>2722.8</v>
      </c>
      <c r="J77" s="648"/>
      <c r="K77" s="648"/>
      <c r="L77" s="649"/>
      <c r="M77" s="647">
        <f>SUMIF(H10:H64,"sb(P)",M10:M64)</f>
        <v>1906.1</v>
      </c>
      <c r="N77" s="648"/>
      <c r="O77" s="648"/>
      <c r="P77" s="649"/>
      <c r="Q77" s="647">
        <f>SUMIF(H10:H64,"sb(p)",Q10:Q65)</f>
        <v>719</v>
      </c>
      <c r="R77" s="648"/>
      <c r="S77" s="648"/>
      <c r="T77" s="649"/>
      <c r="U77" s="10"/>
      <c r="V77" s="10"/>
    </row>
    <row r="78" spans="1:22" ht="13.5" customHeight="1">
      <c r="A78" s="668" t="s">
        <v>35</v>
      </c>
      <c r="B78" s="669"/>
      <c r="C78" s="669"/>
      <c r="D78" s="669"/>
      <c r="E78" s="669"/>
      <c r="F78" s="669"/>
      <c r="G78" s="669"/>
      <c r="H78" s="670"/>
      <c r="I78" s="617">
        <f>SUMIF(H10:H64,#REF!,I10:I64)</f>
        <v>0</v>
      </c>
      <c r="J78" s="617"/>
      <c r="K78" s="617"/>
      <c r="L78" s="618"/>
      <c r="M78" s="603">
        <f>SUMIF(H10:H64,#REF!,M10:M64)</f>
        <v>0</v>
      </c>
      <c r="N78" s="604"/>
      <c r="O78" s="604"/>
      <c r="P78" s="605"/>
      <c r="Q78" s="642">
        <f>SUMIF(H10:H47,"pf",Q10:Q47)</f>
        <v>0</v>
      </c>
      <c r="R78" s="604"/>
      <c r="S78" s="604"/>
      <c r="T78" s="643"/>
      <c r="U78" s="10"/>
      <c r="V78" s="10"/>
    </row>
    <row r="79" spans="1:22" ht="13.5" customHeight="1">
      <c r="A79" s="551" t="s">
        <v>68</v>
      </c>
      <c r="B79" s="552"/>
      <c r="C79" s="552"/>
      <c r="D79" s="552"/>
      <c r="E79" s="552"/>
      <c r="F79" s="552"/>
      <c r="G79" s="552"/>
      <c r="H79" s="553"/>
      <c r="I79" s="546">
        <f>SUM(I80:L82)</f>
        <v>546.13199999999995</v>
      </c>
      <c r="J79" s="546"/>
      <c r="K79" s="546"/>
      <c r="L79" s="547"/>
      <c r="M79" s="615">
        <f>SUM(M80:P82)</f>
        <v>2091.4</v>
      </c>
      <c r="N79" s="596"/>
      <c r="O79" s="596"/>
      <c r="P79" s="616"/>
      <c r="Q79" s="595">
        <f>Q80+Q81+Q82</f>
        <v>37.700000000000003</v>
      </c>
      <c r="R79" s="596"/>
      <c r="S79" s="596"/>
      <c r="T79" s="597"/>
      <c r="U79" s="10"/>
      <c r="V79" s="10"/>
    </row>
    <row r="80" spans="1:22" ht="13.5" customHeight="1">
      <c r="A80" s="548" t="s">
        <v>36</v>
      </c>
      <c r="B80" s="549"/>
      <c r="C80" s="549"/>
      <c r="D80" s="549"/>
      <c r="E80" s="549"/>
      <c r="F80" s="549"/>
      <c r="G80" s="549"/>
      <c r="H80" s="550"/>
      <c r="I80" s="613">
        <f>SUMIF(H10:H64,"ES",I10:I64)</f>
        <v>546.13199999999995</v>
      </c>
      <c r="J80" s="613"/>
      <c r="K80" s="613"/>
      <c r="L80" s="614"/>
      <c r="M80" s="609">
        <f>SUMIF(H10:H64,"ES",M10:M64)</f>
        <v>1062.9000000000001</v>
      </c>
      <c r="N80" s="599"/>
      <c r="O80" s="599"/>
      <c r="P80" s="610"/>
      <c r="Q80" s="598">
        <f>SUMIF(H10:H64,"es",Q10:Q65)</f>
        <v>32</v>
      </c>
      <c r="R80" s="599"/>
      <c r="S80" s="599"/>
      <c r="T80" s="600"/>
      <c r="U80" s="10"/>
      <c r="V80" s="10"/>
    </row>
    <row r="81" spans="1:22" ht="13.5" customHeight="1">
      <c r="A81" s="548" t="s">
        <v>37</v>
      </c>
      <c r="B81" s="549"/>
      <c r="C81" s="549"/>
      <c r="D81" s="549"/>
      <c r="E81" s="549"/>
      <c r="F81" s="549"/>
      <c r="G81" s="549"/>
      <c r="H81" s="550"/>
      <c r="I81" s="617">
        <f>SUMIF(H10:H64,"LRVB",I10:I64)</f>
        <v>0</v>
      </c>
      <c r="J81" s="617"/>
      <c r="K81" s="617"/>
      <c r="L81" s="618"/>
      <c r="M81" s="603">
        <f>SUMIF(H10:H64,"LRVB",M10:M64)</f>
        <v>5.7</v>
      </c>
      <c r="N81" s="604"/>
      <c r="O81" s="604"/>
      <c r="P81" s="605"/>
      <c r="Q81" s="598">
        <f>SUMIF(H10:H64,"lrvb",Q10:Q65)</f>
        <v>5.7</v>
      </c>
      <c r="R81" s="599"/>
      <c r="S81" s="599"/>
      <c r="T81" s="600"/>
      <c r="U81" s="10"/>
      <c r="V81" s="10"/>
    </row>
    <row r="82" spans="1:22" ht="13.5" customHeight="1">
      <c r="A82" s="548" t="s">
        <v>38</v>
      </c>
      <c r="B82" s="549"/>
      <c r="C82" s="549"/>
      <c r="D82" s="549"/>
      <c r="E82" s="549"/>
      <c r="F82" s="549"/>
      <c r="G82" s="549"/>
      <c r="H82" s="550"/>
      <c r="I82" s="613">
        <f>SUMIF(H10:H64,"Kt",I10:I64)</f>
        <v>0</v>
      </c>
      <c r="J82" s="613"/>
      <c r="K82" s="613"/>
      <c r="L82" s="614"/>
      <c r="M82" s="609">
        <f>SUMIF(H10:H64,"Kt",M10:M64)</f>
        <v>1022.8</v>
      </c>
      <c r="N82" s="599"/>
      <c r="O82" s="599"/>
      <c r="P82" s="610"/>
      <c r="Q82" s="598">
        <f>SUMIF(H10:H47,"kt",Q10:Q47)</f>
        <v>0</v>
      </c>
      <c r="R82" s="599"/>
      <c r="S82" s="599"/>
      <c r="T82" s="600"/>
      <c r="U82" s="10"/>
      <c r="V82" s="10"/>
    </row>
    <row r="83" spans="1:22" ht="13.5" customHeight="1" thickBot="1">
      <c r="A83" s="606" t="s">
        <v>16</v>
      </c>
      <c r="B83" s="607"/>
      <c r="C83" s="607"/>
      <c r="D83" s="607"/>
      <c r="E83" s="607"/>
      <c r="F83" s="607"/>
      <c r="G83" s="607"/>
      <c r="H83" s="608"/>
      <c r="I83" s="611">
        <f>I73+I79</f>
        <v>12874.132</v>
      </c>
      <c r="J83" s="611"/>
      <c r="K83" s="611"/>
      <c r="L83" s="612"/>
      <c r="M83" s="601">
        <f>M79+M73</f>
        <v>15637.5</v>
      </c>
      <c r="N83" s="593"/>
      <c r="O83" s="593"/>
      <c r="P83" s="602"/>
      <c r="Q83" s="592">
        <f>Q79+Q73</f>
        <v>11230.800000000003</v>
      </c>
      <c r="R83" s="593"/>
      <c r="S83" s="593"/>
      <c r="T83" s="594"/>
      <c r="U83" s="10"/>
      <c r="V83" s="10"/>
    </row>
    <row r="85" spans="1:22">
      <c r="Q85" s="9"/>
    </row>
  </sheetData>
  <mergeCells count="152">
    <mergeCell ref="D55:D56"/>
    <mergeCell ref="Q72:T72"/>
    <mergeCell ref="Q71:T71"/>
    <mergeCell ref="I72:L72"/>
    <mergeCell ref="E60:E63"/>
    <mergeCell ref="D60:D63"/>
    <mergeCell ref="A72:H72"/>
    <mergeCell ref="A78:H78"/>
    <mergeCell ref="I75:L75"/>
    <mergeCell ref="M78:P78"/>
    <mergeCell ref="D64:D65"/>
    <mergeCell ref="C66:H66"/>
    <mergeCell ref="B68:H68"/>
    <mergeCell ref="A75:H75"/>
    <mergeCell ref="I78:L78"/>
    <mergeCell ref="M73:P73"/>
    <mergeCell ref="I73:L73"/>
    <mergeCell ref="M72:P72"/>
    <mergeCell ref="C64:C65"/>
    <mergeCell ref="A70:T70"/>
    <mergeCell ref="B67:H67"/>
    <mergeCell ref="Q73:T73"/>
    <mergeCell ref="I76:L76"/>
    <mergeCell ref="M76:P76"/>
    <mergeCell ref="A76:H76"/>
    <mergeCell ref="A74:H74"/>
    <mergeCell ref="Q78:T78"/>
    <mergeCell ref="Q75:T75"/>
    <mergeCell ref="M77:P77"/>
    <mergeCell ref="M75:P75"/>
    <mergeCell ref="A77:H77"/>
    <mergeCell ref="I74:L74"/>
    <mergeCell ref="I77:L77"/>
    <mergeCell ref="M74:P74"/>
    <mergeCell ref="Q74:T74"/>
    <mergeCell ref="Q76:T76"/>
    <mergeCell ref="Q77:T77"/>
    <mergeCell ref="A41:A42"/>
    <mergeCell ref="F35:F38"/>
    <mergeCell ref="C40:V40"/>
    <mergeCell ref="C46:C48"/>
    <mergeCell ref="A43:A45"/>
    <mergeCell ref="B43:B45"/>
    <mergeCell ref="E64:E65"/>
    <mergeCell ref="D35:D36"/>
    <mergeCell ref="D37:D38"/>
    <mergeCell ref="B46:B48"/>
    <mergeCell ref="A46:A48"/>
    <mergeCell ref="C43:C45"/>
    <mergeCell ref="C50:V50"/>
    <mergeCell ref="G46:G48"/>
    <mergeCell ref="C39:H39"/>
    <mergeCell ref="E51:E54"/>
    <mergeCell ref="D41:D42"/>
    <mergeCell ref="F51:F54"/>
    <mergeCell ref="G51:G54"/>
    <mergeCell ref="E46:E48"/>
    <mergeCell ref="F46:F48"/>
    <mergeCell ref="F43:F45"/>
    <mergeCell ref="G43:G45"/>
    <mergeCell ref="C51:C54"/>
    <mergeCell ref="A73:H73"/>
    <mergeCell ref="C55:C56"/>
    <mergeCell ref="C57:C59"/>
    <mergeCell ref="D57:D59"/>
    <mergeCell ref="C60:C63"/>
    <mergeCell ref="C49:H49"/>
    <mergeCell ref="D51:D54"/>
    <mergeCell ref="Q83:T83"/>
    <mergeCell ref="A81:H81"/>
    <mergeCell ref="Q79:T79"/>
    <mergeCell ref="Q80:T80"/>
    <mergeCell ref="M83:P83"/>
    <mergeCell ref="M81:P81"/>
    <mergeCell ref="A83:H83"/>
    <mergeCell ref="M82:P82"/>
    <mergeCell ref="Q81:T81"/>
    <mergeCell ref="Q82:T82"/>
    <mergeCell ref="M80:P80"/>
    <mergeCell ref="I83:L83"/>
    <mergeCell ref="I82:L82"/>
    <mergeCell ref="I80:L80"/>
    <mergeCell ref="M79:P79"/>
    <mergeCell ref="A82:H82"/>
    <mergeCell ref="I81:L81"/>
    <mergeCell ref="I79:L79"/>
    <mergeCell ref="A80:H80"/>
    <mergeCell ref="A79:H79"/>
    <mergeCell ref="A2:V2"/>
    <mergeCell ref="A5:A7"/>
    <mergeCell ref="B5:B7"/>
    <mergeCell ref="C5:C7"/>
    <mergeCell ref="D5:D7"/>
    <mergeCell ref="M5:P5"/>
    <mergeCell ref="F5:F7"/>
    <mergeCell ref="L6:L7"/>
    <mergeCell ref="N6:O6"/>
    <mergeCell ref="Q5:T5"/>
    <mergeCell ref="I6:I7"/>
    <mergeCell ref="A3:V3"/>
    <mergeCell ref="P6:P7"/>
    <mergeCell ref="H5:H7"/>
    <mergeCell ref="U5:U7"/>
    <mergeCell ref="V5:V7"/>
    <mergeCell ref="G5:G7"/>
    <mergeCell ref="I5:L5"/>
    <mergeCell ref="M6:M7"/>
    <mergeCell ref="Q6:Q7"/>
    <mergeCell ref="A14:A16"/>
    <mergeCell ref="B14:B16"/>
    <mergeCell ref="T6:T7"/>
    <mergeCell ref="J6:K6"/>
    <mergeCell ref="C11:V11"/>
    <mergeCell ref="E12:E13"/>
    <mergeCell ref="C14:C16"/>
    <mergeCell ref="D14:D16"/>
    <mergeCell ref="R6:S6"/>
    <mergeCell ref="E5:E7"/>
    <mergeCell ref="A8:V8"/>
    <mergeCell ref="B10:V10"/>
    <mergeCell ref="F14:F16"/>
    <mergeCell ref="D12:D13"/>
    <mergeCell ref="A9:V9"/>
    <mergeCell ref="A25:A26"/>
    <mergeCell ref="C25:C26"/>
    <mergeCell ref="D25:D26"/>
    <mergeCell ref="B25:B26"/>
    <mergeCell ref="B22:B24"/>
    <mergeCell ref="G22:G24"/>
    <mergeCell ref="A22:A24"/>
    <mergeCell ref="E25:E26"/>
    <mergeCell ref="C18:V18"/>
    <mergeCell ref="G25:G26"/>
    <mergeCell ref="F25:F26"/>
    <mergeCell ref="E19:E21"/>
    <mergeCell ref="C19:C21"/>
    <mergeCell ref="F19:F21"/>
    <mergeCell ref="G19:G21"/>
    <mergeCell ref="E22:E24"/>
    <mergeCell ref="D22:D24"/>
    <mergeCell ref="F22:F24"/>
    <mergeCell ref="C22:C24"/>
    <mergeCell ref="C17:H17"/>
    <mergeCell ref="D19:D21"/>
    <mergeCell ref="C27:H27"/>
    <mergeCell ref="C41:C42"/>
    <mergeCell ref="D29:D31"/>
    <mergeCell ref="C28:V28"/>
    <mergeCell ref="D32:D34"/>
    <mergeCell ref="D46:D48"/>
    <mergeCell ref="D43:D45"/>
    <mergeCell ref="E43:E45"/>
  </mergeCells>
  <phoneticPr fontId="5" type="noConversion"/>
  <printOptions horizontalCentered="1"/>
  <pageMargins left="0" right="0" top="0.78740157480314965" bottom="0" header="0" footer="0"/>
  <pageSetup paperSize="9" scale="91" orientation="landscape" r:id="rId1"/>
  <headerFooter alignWithMargins="0">
    <oddFooter>Puslapių &amp;P</oddFooter>
  </headerFooter>
  <rowBreaks count="2" manualBreakCount="2">
    <brk id="24" max="16383" man="1"/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/>
  <dimension ref="A1:F25"/>
  <sheetViews>
    <sheetView workbookViewId="0">
      <selection activeCell="H13" sqref="H13"/>
    </sheetView>
  </sheetViews>
  <sheetFormatPr defaultRowHeight="12.75"/>
  <cols>
    <col min="1" max="1" width="46.85546875" customWidth="1"/>
    <col min="2" max="6" width="10.7109375" customWidth="1"/>
  </cols>
  <sheetData>
    <row r="1" spans="1:6" ht="26.25" customHeight="1">
      <c r="A1" s="687" t="s">
        <v>71</v>
      </c>
      <c r="B1" s="687"/>
      <c r="C1" s="687"/>
      <c r="D1" s="687"/>
      <c r="E1" s="687"/>
      <c r="F1" s="687"/>
    </row>
    <row r="2" spans="1:6" ht="18" customHeight="1" thickBot="1">
      <c r="A2" s="29"/>
      <c r="B2" s="29"/>
      <c r="C2" s="29"/>
      <c r="D2" s="29"/>
      <c r="E2" s="29"/>
      <c r="F2" s="32" t="s">
        <v>0</v>
      </c>
    </row>
    <row r="3" spans="1:6" ht="15.75" customHeight="1">
      <c r="A3" s="691" t="s">
        <v>19</v>
      </c>
      <c r="B3" s="688" t="s">
        <v>77</v>
      </c>
      <c r="C3" s="691" t="s">
        <v>105</v>
      </c>
      <c r="D3" s="688" t="s">
        <v>157</v>
      </c>
      <c r="E3" s="688" t="s">
        <v>62</v>
      </c>
      <c r="F3" s="688" t="s">
        <v>80</v>
      </c>
    </row>
    <row r="4" spans="1:6">
      <c r="A4" s="692"/>
      <c r="B4" s="689"/>
      <c r="C4" s="694"/>
      <c r="D4" s="689"/>
      <c r="E4" s="689"/>
      <c r="F4" s="689"/>
    </row>
    <row r="5" spans="1:6" ht="13.15" customHeight="1">
      <c r="A5" s="692"/>
      <c r="B5" s="689"/>
      <c r="C5" s="694"/>
      <c r="D5" s="689"/>
      <c r="E5" s="689"/>
      <c r="F5" s="689"/>
    </row>
    <row r="6" spans="1:6" ht="21.75" customHeight="1" thickBot="1">
      <c r="A6" s="693"/>
      <c r="B6" s="690"/>
      <c r="C6" s="695"/>
      <c r="D6" s="690"/>
      <c r="E6" s="690"/>
      <c r="F6" s="690"/>
    </row>
    <row r="7" spans="1:6" ht="15.75" customHeight="1">
      <c r="A7" s="305" t="s">
        <v>25</v>
      </c>
      <c r="B7" s="306">
        <f>B8+B10</f>
        <v>12874.131999999998</v>
      </c>
      <c r="C7" s="307">
        <f>C8+C10</f>
        <v>15637.5</v>
      </c>
      <c r="D7" s="306">
        <f>D8+D10</f>
        <v>11230.800000000001</v>
      </c>
      <c r="E7" s="306">
        <f>'1 lentelė'!U68</f>
        <v>11258</v>
      </c>
      <c r="F7" s="308">
        <f>'1 lentelė'!V68</f>
        <v>12860.8</v>
      </c>
    </row>
    <row r="8" spans="1:6" ht="15.75" customHeight="1">
      <c r="A8" s="320" t="s">
        <v>44</v>
      </c>
      <c r="B8" s="39">
        <f>SUM('1 lentelė'!J68)</f>
        <v>9372.8999999999978</v>
      </c>
      <c r="C8" s="40">
        <f>'1 lentelė'!N68</f>
        <v>12983.4</v>
      </c>
      <c r="D8" s="309">
        <f>'1 lentelė'!R68</f>
        <v>9844.1</v>
      </c>
      <c r="E8" s="39"/>
      <c r="F8" s="41"/>
    </row>
    <row r="9" spans="1:6" ht="15.75" customHeight="1">
      <c r="A9" s="322" t="s">
        <v>45</v>
      </c>
      <c r="B9" s="42">
        <f>SUM('1 lentelė'!K68)</f>
        <v>4436.8999999999996</v>
      </c>
      <c r="C9" s="43">
        <f>'1 lentelė'!O68</f>
        <v>4494.7</v>
      </c>
      <c r="D9" s="310">
        <f>'1 lentelė'!S68</f>
        <v>4305.3999999999996</v>
      </c>
      <c r="E9" s="39"/>
      <c r="F9" s="44"/>
    </row>
    <row r="10" spans="1:6" ht="15.75" customHeight="1" thickBot="1">
      <c r="A10" s="321" t="s">
        <v>20</v>
      </c>
      <c r="B10" s="45">
        <f>SUM('1 lentelė'!L68)</f>
        <v>3501.232</v>
      </c>
      <c r="C10" s="46">
        <f>'1 lentelė'!P68</f>
        <v>2654.1000000000004</v>
      </c>
      <c r="D10" s="311">
        <f>'1 lentelė'!T68</f>
        <v>1386.7000000000003</v>
      </c>
      <c r="E10" s="45"/>
      <c r="F10" s="47"/>
    </row>
    <row r="11" spans="1:6" ht="15.75" customHeight="1">
      <c r="A11" s="316" t="s">
        <v>26</v>
      </c>
      <c r="B11" s="317">
        <f>B12+B18</f>
        <v>12874.132</v>
      </c>
      <c r="C11" s="317">
        <f>C12+C18</f>
        <v>15637.5</v>
      </c>
      <c r="D11" s="317">
        <f>D12+D18</f>
        <v>11230.800000000003</v>
      </c>
      <c r="E11" s="317">
        <f>E12+E18</f>
        <v>11258.000000000002</v>
      </c>
      <c r="F11" s="317">
        <f>F12+F18</f>
        <v>12860.800000000001</v>
      </c>
    </row>
    <row r="12" spans="1:6" ht="15.75" customHeight="1">
      <c r="A12" s="318" t="s">
        <v>27</v>
      </c>
      <c r="B12" s="319">
        <f>SUM(B13:B17)</f>
        <v>12328</v>
      </c>
      <c r="C12" s="319">
        <f>SUM(C13:C17)</f>
        <v>13546.1</v>
      </c>
      <c r="D12" s="319">
        <f>SUM(D13:D17)</f>
        <v>11193.100000000002</v>
      </c>
      <c r="E12" s="319">
        <f>SUM(E13:E17)</f>
        <v>10950.300000000001</v>
      </c>
      <c r="F12" s="319">
        <f>SUM(F13:F17)</f>
        <v>10810.800000000001</v>
      </c>
    </row>
    <row r="13" spans="1:6" ht="15.75" customHeight="1">
      <c r="A13" s="324" t="s">
        <v>152</v>
      </c>
      <c r="B13" s="48">
        <f>SUM('1 lentelė'!I74:L74)</f>
        <v>8377.2999999999993</v>
      </c>
      <c r="C13" s="48">
        <f>'1 lentelė'!M74</f>
        <v>10118.4</v>
      </c>
      <c r="D13" s="312">
        <f>'1 lentelė'!Q74</f>
        <v>8906.3000000000011</v>
      </c>
      <c r="E13" s="48">
        <f>SUMIF('1 lentelė'!H64:'1 lentelė'!H12,"sb",'1 lentelė'!U12:'1 lentelė'!U64)</f>
        <v>9911.1</v>
      </c>
      <c r="F13" s="48">
        <f>SUMIF('1 lentelė'!H64:'1 lentelė'!H12,"sb",'1 lentelė'!V12:'1 lentelė'!V64)</f>
        <v>9761.6</v>
      </c>
    </row>
    <row r="14" spans="1:6" ht="27" customHeight="1">
      <c r="A14" s="323" t="s">
        <v>153</v>
      </c>
      <c r="B14" s="49">
        <f>SUM('1 lentelė'!I75:L75)</f>
        <v>1027.9000000000001</v>
      </c>
      <c r="C14" s="49">
        <f>SUM('1 lentelė'!M75:P75)</f>
        <v>1021.6</v>
      </c>
      <c r="D14" s="313">
        <f>SUM('1 lentelė'!Q75:T75)</f>
        <v>1067.8000000000002</v>
      </c>
      <c r="E14" s="49">
        <f>SUMIF('1 lentelė'!H64:'1 lentelė'!H12,"sb(sp)",'1 lentelė'!U12:'1 lentelė'!U64)</f>
        <v>1039.2</v>
      </c>
      <c r="F14" s="49">
        <f>SUMIF('1 lentelė'!H64:'1 lentelė'!H12,"sb(sp)",'1 lentelė'!V12:'1 lentelė'!V64)</f>
        <v>1049.2</v>
      </c>
    </row>
    <row r="15" spans="1:6" ht="27" customHeight="1">
      <c r="A15" s="323" t="s">
        <v>154</v>
      </c>
      <c r="B15" s="49">
        <f>SUM('1 lentelė'!I76:L76)</f>
        <v>200</v>
      </c>
      <c r="C15" s="49">
        <f>SUM('1 lentelė'!M76:P76)</f>
        <v>500</v>
      </c>
      <c r="D15" s="313">
        <f>SUM('1 lentelė'!Q76:T76)</f>
        <v>500</v>
      </c>
      <c r="E15" s="49"/>
      <c r="F15" s="49"/>
    </row>
    <row r="16" spans="1:6" ht="15.75" customHeight="1">
      <c r="A16" s="324" t="s">
        <v>155</v>
      </c>
      <c r="B16" s="48">
        <f>SUM('1 lentelė'!I77:L77)</f>
        <v>2722.8</v>
      </c>
      <c r="C16" s="48">
        <f>SUM('1 lentelė'!M77:P77)</f>
        <v>1906.1</v>
      </c>
      <c r="D16" s="314">
        <f>SUM('1 lentelė'!Q77:T77)</f>
        <v>719</v>
      </c>
      <c r="E16" s="48">
        <f>SUMIF('1 lentelė'!H64:'1 lentelė'!H12,"sb(p)",'1 lentelė'!U12:'1 lentelė'!U64)</f>
        <v>0</v>
      </c>
      <c r="F16" s="48">
        <f>SUMIF('1 lentelė'!H64:'1 lentelė'!H12,"sb(p)",'1 lentelė'!V12:'1 lentelė'!V64)</f>
        <v>0</v>
      </c>
    </row>
    <row r="17" spans="1:6" ht="15.75" customHeight="1">
      <c r="A17" s="324" t="s">
        <v>156</v>
      </c>
      <c r="B17" s="326">
        <f>'1 lentelė'!I78</f>
        <v>0</v>
      </c>
      <c r="C17" s="326">
        <f>'1 lentelė'!M78</f>
        <v>0</v>
      </c>
      <c r="D17" s="327">
        <f>'1 lentelė'!Q78</f>
        <v>0</v>
      </c>
      <c r="E17" s="326">
        <f>SUMIF('1 lentelė'!H64:'1 lentelė'!H12,"pf",'1 lentelė'!U12:'1 lentelė'!U64)</f>
        <v>0</v>
      </c>
      <c r="F17" s="326">
        <f>SUMIF('1 lentelė'!H64:'1 lentelė'!H12,"pf",'1 lentelė'!V12:'1 lentelė'!V64)</f>
        <v>0</v>
      </c>
    </row>
    <row r="18" spans="1:6" ht="15.75" customHeight="1">
      <c r="A18" s="318" t="s">
        <v>28</v>
      </c>
      <c r="B18" s="319">
        <f>SUM(B19:B21)</f>
        <v>546.13199999999995</v>
      </c>
      <c r="C18" s="319">
        <f>SUM(C19:C21)</f>
        <v>2091.4</v>
      </c>
      <c r="D18" s="319">
        <f>SUM(D19:D21)</f>
        <v>37.700000000000003</v>
      </c>
      <c r="E18" s="319">
        <f>SUM(E19:E21)</f>
        <v>307.7</v>
      </c>
      <c r="F18" s="319">
        <f>SUM(F19:F21)</f>
        <v>2050</v>
      </c>
    </row>
    <row r="19" spans="1:6" ht="15.75" customHeight="1">
      <c r="A19" s="323" t="s">
        <v>29</v>
      </c>
      <c r="B19" s="39">
        <f>'1 lentelė'!I80</f>
        <v>546.13199999999995</v>
      </c>
      <c r="C19" s="39">
        <f>'1 lentelė'!M80</f>
        <v>1062.9000000000001</v>
      </c>
      <c r="D19" s="309">
        <f>'1 lentelė'!Q80</f>
        <v>32</v>
      </c>
      <c r="E19" s="39">
        <f>SUMIF('1 lentelė'!H64:'1 lentelė'!H12,"es",'1 lentelė'!U12:'1 lentelė'!U64)</f>
        <v>257.7</v>
      </c>
      <c r="F19" s="39">
        <f>SUMIF('1 lentelė'!H64:'1 lentelė'!H12,"es",'1 lentelė'!V12:'1 lentelė'!V64)</f>
        <v>2000</v>
      </c>
    </row>
    <row r="20" spans="1:6" ht="15.75" customHeight="1">
      <c r="A20" s="324" t="s">
        <v>60</v>
      </c>
      <c r="B20" s="48">
        <f>'1 lentelė'!I81</f>
        <v>0</v>
      </c>
      <c r="C20" s="48">
        <f>'1 lentelė'!M81</f>
        <v>5.7</v>
      </c>
      <c r="D20" s="310">
        <f>'1 lentelė'!Q81</f>
        <v>5.7</v>
      </c>
      <c r="E20" s="48">
        <f>SUMIF('1 lentelė'!H64:'1 lentelė'!H12,"lrvb",'1 lentelė'!U12:'1 lentelė'!U64)</f>
        <v>0</v>
      </c>
      <c r="F20" s="48">
        <f>SUMIF('1 lentelė'!H64:'1 lentelė'!H12,"lrvb",'1 lentelė'!V12:'1 lentelė'!V64)</f>
        <v>0</v>
      </c>
    </row>
    <row r="21" spans="1:6" ht="15.75" customHeight="1" thickBot="1">
      <c r="A21" s="325" t="s">
        <v>69</v>
      </c>
      <c r="B21" s="45">
        <f>'1 lentelė'!I82</f>
        <v>0</v>
      </c>
      <c r="C21" s="45">
        <f>'1 lentelė'!M82</f>
        <v>1022.8</v>
      </c>
      <c r="D21" s="315">
        <f>'1 lentelė'!Q82</f>
        <v>0</v>
      </c>
      <c r="E21" s="45">
        <f>SUMIF('1 lentelė'!H64:'1 lentelė'!H12,"kt",'1 lentelė'!U12:'1 lentelė'!U64)</f>
        <v>50</v>
      </c>
      <c r="F21" s="45">
        <f>SUMIF('1 lentelė'!H64:'1 lentelė'!H12,"kt",'1 lentelė'!V12:'1 lentelė'!V64)</f>
        <v>50</v>
      </c>
    </row>
    <row r="22" spans="1:6" ht="15" customHeight="1">
      <c r="A22" s="303"/>
      <c r="B22" s="303"/>
      <c r="C22" s="303"/>
      <c r="D22" s="303"/>
      <c r="E22" s="303"/>
      <c r="F22" s="303"/>
    </row>
    <row r="23" spans="1:6" ht="15" customHeight="1">
      <c r="A23" s="304"/>
      <c r="B23" s="304"/>
      <c r="C23" s="304"/>
      <c r="D23" s="304"/>
      <c r="E23" s="304"/>
      <c r="F23" s="304"/>
    </row>
    <row r="24" spans="1:6">
      <c r="A24" s="300"/>
      <c r="B24" s="300"/>
      <c r="C24" s="300"/>
      <c r="D24" s="300"/>
      <c r="E24" s="300"/>
      <c r="F24" s="300"/>
    </row>
    <row r="25" spans="1:6">
      <c r="A25" s="1"/>
    </row>
  </sheetData>
  <mergeCells count="7">
    <mergeCell ref="A1:F1"/>
    <mergeCell ref="E3:E6"/>
    <mergeCell ref="F3:F6"/>
    <mergeCell ref="A3:A6"/>
    <mergeCell ref="B3:B6"/>
    <mergeCell ref="C3:C6"/>
    <mergeCell ref="D3:D6"/>
  </mergeCells>
  <phoneticPr fontId="5" type="noConversion"/>
  <pageMargins left="0.98425196850393704" right="0.19685039370078741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4"/>
  <dimension ref="A1:G34"/>
  <sheetViews>
    <sheetView zoomScaleNormal="100" zoomScaleSheetLayoutView="100" workbookViewId="0"/>
  </sheetViews>
  <sheetFormatPr defaultRowHeight="12.75"/>
  <cols>
    <col min="1" max="1" width="14.28515625" style="29" customWidth="1"/>
    <col min="2" max="2" width="73.5703125" style="29" customWidth="1"/>
    <col min="3" max="3" width="11.28515625" style="265" customWidth="1"/>
    <col min="4" max="7" width="9.85546875" style="29" customWidth="1"/>
    <col min="8" max="16384" width="9.140625" style="29"/>
  </cols>
  <sheetData>
    <row r="1" spans="1:7" ht="18.75" customHeight="1">
      <c r="A1" s="12"/>
      <c r="B1" s="12" t="s">
        <v>46</v>
      </c>
      <c r="C1" s="13"/>
      <c r="D1" s="13"/>
      <c r="E1" s="13"/>
      <c r="F1" s="14"/>
      <c r="G1" s="15" t="s">
        <v>47</v>
      </c>
    </row>
    <row r="2" spans="1:7" ht="27" customHeight="1">
      <c r="A2" s="16"/>
      <c r="B2" s="17" t="s">
        <v>58</v>
      </c>
      <c r="C2" s="18" t="s">
        <v>48</v>
      </c>
      <c r="D2" s="19" t="s">
        <v>11</v>
      </c>
      <c r="E2" s="20"/>
      <c r="F2" s="20"/>
      <c r="G2" s="20"/>
    </row>
    <row r="3" spans="1:7" ht="15" customHeight="1">
      <c r="A3" s="16"/>
      <c r="B3" s="38" t="s">
        <v>49</v>
      </c>
      <c r="C3" s="36"/>
      <c r="D3" s="36"/>
      <c r="E3" s="20"/>
      <c r="F3" s="20"/>
      <c r="G3" s="20"/>
    </row>
    <row r="4" spans="1:7" ht="8.25" customHeight="1">
      <c r="A4" s="16"/>
      <c r="B4" s="37"/>
      <c r="C4" s="20"/>
      <c r="D4" s="20"/>
      <c r="E4" s="20"/>
      <c r="F4" s="20"/>
      <c r="G4" s="20"/>
    </row>
    <row r="5" spans="1:7" ht="29.25" customHeight="1">
      <c r="A5" s="16"/>
      <c r="B5" s="17" t="s">
        <v>148</v>
      </c>
      <c r="C5" s="18" t="s">
        <v>48</v>
      </c>
      <c r="D5" s="19" t="s">
        <v>14</v>
      </c>
      <c r="E5" s="20"/>
      <c r="F5" s="20"/>
      <c r="G5" s="20"/>
    </row>
    <row r="6" spans="1:7" ht="15.75" customHeight="1">
      <c r="A6" s="22"/>
      <c r="B6" s="21" t="s">
        <v>50</v>
      </c>
      <c r="C6" s="245"/>
      <c r="D6" s="246"/>
      <c r="E6" s="247"/>
      <c r="F6" s="248"/>
      <c r="G6" s="248"/>
    </row>
    <row r="7" spans="1:7" ht="8.25" customHeight="1">
      <c r="A7" s="23"/>
      <c r="B7" s="24"/>
      <c r="C7" s="264"/>
      <c r="D7" s="24"/>
      <c r="E7" s="23"/>
      <c r="F7" s="24"/>
      <c r="G7" s="24"/>
    </row>
    <row r="8" spans="1:7" ht="18.75" customHeight="1">
      <c r="A8" s="696" t="s">
        <v>59</v>
      </c>
      <c r="B8" s="698" t="s">
        <v>51</v>
      </c>
      <c r="C8" s="698" t="s">
        <v>52</v>
      </c>
      <c r="D8" s="696" t="s">
        <v>120</v>
      </c>
      <c r="E8" s="696" t="s">
        <v>53</v>
      </c>
      <c r="F8" s="696" t="s">
        <v>63</v>
      </c>
      <c r="G8" s="698" t="s">
        <v>81</v>
      </c>
    </row>
    <row r="9" spans="1:7" ht="42.75" customHeight="1">
      <c r="A9" s="700"/>
      <c r="B9" s="698"/>
      <c r="C9" s="701" t="s">
        <v>39</v>
      </c>
      <c r="D9" s="697"/>
      <c r="E9" s="697"/>
      <c r="F9" s="697"/>
      <c r="G9" s="699"/>
    </row>
    <row r="10" spans="1:7">
      <c r="A10" s="186" t="s">
        <v>76</v>
      </c>
      <c r="B10" s="187" t="s">
        <v>54</v>
      </c>
      <c r="C10" s="189"/>
      <c r="D10" s="188"/>
      <c r="E10" s="189"/>
      <c r="F10" s="188"/>
      <c r="G10" s="190"/>
    </row>
    <row r="11" spans="1:7">
      <c r="A11" s="191"/>
      <c r="B11" s="192" t="s">
        <v>55</v>
      </c>
      <c r="C11" s="194"/>
      <c r="D11" s="263"/>
      <c r="E11" s="194"/>
      <c r="F11" s="193"/>
      <c r="G11" s="195"/>
    </row>
    <row r="12" spans="1:7">
      <c r="A12" s="191"/>
      <c r="B12" s="280" t="s">
        <v>126</v>
      </c>
      <c r="C12" s="194" t="s">
        <v>89</v>
      </c>
      <c r="D12" s="193" t="s">
        <v>127</v>
      </c>
      <c r="E12" s="194" t="s">
        <v>128</v>
      </c>
      <c r="F12" s="193" t="s">
        <v>128</v>
      </c>
      <c r="G12" s="196" t="s">
        <v>128</v>
      </c>
    </row>
    <row r="13" spans="1:7" ht="12.75" customHeight="1">
      <c r="A13" s="203"/>
      <c r="B13" s="267" t="s">
        <v>130</v>
      </c>
      <c r="C13" s="194" t="s">
        <v>110</v>
      </c>
      <c r="D13" s="193">
        <v>187.7</v>
      </c>
      <c r="E13" s="194">
        <v>177.8</v>
      </c>
      <c r="F13" s="194">
        <v>179.4</v>
      </c>
      <c r="G13" s="194">
        <v>182.4</v>
      </c>
    </row>
    <row r="14" spans="1:7">
      <c r="A14" s="191"/>
      <c r="B14" s="268" t="s">
        <v>131</v>
      </c>
      <c r="C14" s="194" t="s">
        <v>122</v>
      </c>
      <c r="D14" s="269">
        <v>0</v>
      </c>
      <c r="E14" s="196">
        <v>1</v>
      </c>
      <c r="F14" s="197">
        <v>0</v>
      </c>
      <c r="G14" s="196">
        <v>0</v>
      </c>
    </row>
    <row r="15" spans="1:7">
      <c r="A15" s="191"/>
      <c r="B15" s="262" t="s">
        <v>119</v>
      </c>
      <c r="C15" s="194"/>
      <c r="D15" s="269"/>
      <c r="E15" s="196"/>
      <c r="F15" s="197"/>
      <c r="G15" s="196"/>
    </row>
    <row r="16" spans="1:7" ht="12.75" customHeight="1">
      <c r="A16" s="198"/>
      <c r="B16" s="200" t="s">
        <v>55</v>
      </c>
      <c r="C16" s="194"/>
      <c r="D16" s="199"/>
      <c r="E16" s="194"/>
      <c r="F16" s="193"/>
      <c r="G16" s="196"/>
    </row>
    <row r="17" spans="1:7" ht="12.75" customHeight="1">
      <c r="A17" s="198"/>
      <c r="B17" s="201" t="s">
        <v>56</v>
      </c>
      <c r="C17" s="194"/>
      <c r="D17" s="199"/>
      <c r="E17" s="194"/>
      <c r="F17" s="193"/>
      <c r="G17" s="196"/>
    </row>
    <row r="18" spans="1:7" ht="12.75" customHeight="1">
      <c r="A18" s="266"/>
      <c r="B18" s="296" t="s">
        <v>150</v>
      </c>
      <c r="C18" s="194" t="s">
        <v>90</v>
      </c>
      <c r="D18" s="295">
        <v>62</v>
      </c>
      <c r="E18" s="295">
        <v>45</v>
      </c>
      <c r="F18" s="295">
        <v>45</v>
      </c>
      <c r="G18" s="295">
        <v>45</v>
      </c>
    </row>
    <row r="19" spans="1:7" ht="12.75" customHeight="1">
      <c r="A19" s="270"/>
      <c r="B19" s="271" t="s">
        <v>129</v>
      </c>
      <c r="C19" s="194" t="s">
        <v>91</v>
      </c>
      <c r="D19" s="194">
        <v>9</v>
      </c>
      <c r="E19" s="194">
        <v>6</v>
      </c>
      <c r="F19" s="194">
        <v>9</v>
      </c>
      <c r="G19" s="194">
        <v>9</v>
      </c>
    </row>
    <row r="20" spans="1:7" ht="12.75" customHeight="1">
      <c r="A20" s="198"/>
      <c r="B20" s="249" t="s">
        <v>64</v>
      </c>
      <c r="C20" s="194"/>
      <c r="D20" s="194"/>
      <c r="E20" s="194"/>
      <c r="F20" s="194"/>
      <c r="G20" s="196"/>
    </row>
    <row r="21" spans="1:7" ht="12.75" customHeight="1">
      <c r="A21" s="203"/>
      <c r="B21" s="272" t="s">
        <v>123</v>
      </c>
      <c r="C21" s="194" t="s">
        <v>92</v>
      </c>
      <c r="D21" s="194">
        <v>539</v>
      </c>
      <c r="E21" s="194">
        <v>385</v>
      </c>
      <c r="F21" s="194">
        <f>4+160+345+7</f>
        <v>516</v>
      </c>
      <c r="G21" s="194">
        <f>4+170+345+7</f>
        <v>526</v>
      </c>
    </row>
    <row r="22" spans="1:7" ht="12.75" customHeight="1">
      <c r="A22" s="203"/>
      <c r="B22" s="272" t="s">
        <v>132</v>
      </c>
      <c r="C22" s="194" t="s">
        <v>93</v>
      </c>
      <c r="D22" s="194">
        <v>280</v>
      </c>
      <c r="E22" s="194">
        <v>236</v>
      </c>
      <c r="F22" s="194">
        <v>240</v>
      </c>
      <c r="G22" s="194">
        <v>250</v>
      </c>
    </row>
    <row r="23" spans="1:7" ht="12.75" customHeight="1">
      <c r="A23" s="198"/>
      <c r="B23" s="249" t="s">
        <v>65</v>
      </c>
      <c r="C23" s="194"/>
      <c r="D23" s="194"/>
      <c r="E23" s="194"/>
      <c r="F23" s="194"/>
      <c r="G23" s="196"/>
    </row>
    <row r="24" spans="1:7" ht="12.75" customHeight="1">
      <c r="A24" s="202"/>
      <c r="B24" s="273" t="s">
        <v>133</v>
      </c>
      <c r="C24" s="194" t="s">
        <v>143</v>
      </c>
      <c r="D24" s="194">
        <v>499</v>
      </c>
      <c r="E24" s="194">
        <v>50</v>
      </c>
      <c r="F24" s="194">
        <v>109</v>
      </c>
      <c r="G24" s="194">
        <v>109</v>
      </c>
    </row>
    <row r="25" spans="1:7" ht="24" customHeight="1">
      <c r="A25" s="202"/>
      <c r="B25" s="274" t="s">
        <v>134</v>
      </c>
      <c r="C25" s="194" t="s">
        <v>95</v>
      </c>
      <c r="D25" s="194">
        <v>108</v>
      </c>
      <c r="E25" s="194">
        <v>114</v>
      </c>
      <c r="F25" s="194">
        <v>114</v>
      </c>
      <c r="G25" s="194">
        <v>114</v>
      </c>
    </row>
    <row r="26" spans="1:7" ht="12.75" customHeight="1">
      <c r="A26" s="202"/>
      <c r="B26" s="273" t="s">
        <v>135</v>
      </c>
      <c r="C26" s="194" t="s">
        <v>96</v>
      </c>
      <c r="D26" s="194">
        <v>14</v>
      </c>
      <c r="E26" s="194">
        <v>18</v>
      </c>
      <c r="F26" s="194">
        <v>18</v>
      </c>
      <c r="G26" s="194">
        <v>18</v>
      </c>
    </row>
    <row r="27" spans="1:7" ht="12.75" customHeight="1">
      <c r="A27" s="202"/>
      <c r="B27" s="275" t="s">
        <v>142</v>
      </c>
      <c r="C27" s="194" t="s">
        <v>97</v>
      </c>
      <c r="D27" s="199">
        <v>33</v>
      </c>
      <c r="E27" s="293" t="s">
        <v>79</v>
      </c>
      <c r="F27" s="293" t="s">
        <v>79</v>
      </c>
      <c r="G27" s="294" t="s">
        <v>79</v>
      </c>
    </row>
    <row r="28" spans="1:7" ht="12.75" customHeight="1">
      <c r="A28" s="277"/>
      <c r="B28" s="278" t="s">
        <v>94</v>
      </c>
      <c r="C28" s="194"/>
      <c r="D28" s="279"/>
      <c r="E28" s="279"/>
      <c r="F28" s="279"/>
      <c r="G28" s="196"/>
    </row>
    <row r="29" spans="1:7" ht="12.75" customHeight="1">
      <c r="A29" s="276"/>
      <c r="B29" s="280" t="s">
        <v>138</v>
      </c>
      <c r="C29" s="194" t="s">
        <v>98</v>
      </c>
      <c r="D29" s="281">
        <v>11</v>
      </c>
      <c r="E29" s="281">
        <v>6</v>
      </c>
      <c r="F29" s="281">
        <v>9</v>
      </c>
      <c r="G29" s="282">
        <v>9</v>
      </c>
    </row>
    <row r="30" spans="1:7" ht="12.75" customHeight="1">
      <c r="A30" s="268"/>
      <c r="B30" s="284" t="s">
        <v>139</v>
      </c>
      <c r="C30" s="194" t="s">
        <v>99</v>
      </c>
      <c r="D30" s="283">
        <v>275</v>
      </c>
      <c r="E30" s="283">
        <v>250</v>
      </c>
      <c r="F30" s="283">
        <v>250</v>
      </c>
      <c r="G30" s="283">
        <v>250</v>
      </c>
    </row>
    <row r="31" spans="1:7" ht="12.75" customHeight="1">
      <c r="A31" s="268"/>
      <c r="B31" s="284" t="s">
        <v>136</v>
      </c>
      <c r="C31" s="194" t="s">
        <v>100</v>
      </c>
      <c r="D31" s="283">
        <v>53</v>
      </c>
      <c r="E31" s="283">
        <v>24</v>
      </c>
      <c r="F31" s="283">
        <v>24</v>
      </c>
      <c r="G31" s="283">
        <v>24</v>
      </c>
    </row>
    <row r="32" spans="1:7" ht="12.75" customHeight="1">
      <c r="A32" s="268"/>
      <c r="B32" s="284" t="s">
        <v>137</v>
      </c>
      <c r="C32" s="194" t="s">
        <v>101</v>
      </c>
      <c r="D32" s="196">
        <v>123</v>
      </c>
      <c r="E32" s="196">
        <v>181</v>
      </c>
      <c r="F32" s="196">
        <v>200</v>
      </c>
      <c r="G32" s="196">
        <v>200</v>
      </c>
    </row>
    <row r="33" spans="1:7" ht="12.75" customHeight="1">
      <c r="A33" s="198"/>
      <c r="B33" s="201" t="s">
        <v>109</v>
      </c>
      <c r="C33" s="194"/>
      <c r="D33" s="199"/>
      <c r="E33" s="194"/>
      <c r="F33" s="193"/>
      <c r="G33" s="196"/>
    </row>
    <row r="34" spans="1:7" ht="12.75" customHeight="1">
      <c r="A34" s="285"/>
      <c r="B34" s="286" t="s">
        <v>121</v>
      </c>
      <c r="C34" s="287" t="s">
        <v>111</v>
      </c>
      <c r="D34" s="288"/>
      <c r="E34" s="289">
        <v>1</v>
      </c>
      <c r="F34" s="289">
        <v>0</v>
      </c>
      <c r="G34" s="290">
        <v>0</v>
      </c>
    </row>
  </sheetData>
  <mergeCells count="7">
    <mergeCell ref="E8:E9"/>
    <mergeCell ref="F8:F9"/>
    <mergeCell ref="G8:G9"/>
    <mergeCell ref="A8:A9"/>
    <mergeCell ref="B8:B9"/>
    <mergeCell ref="C8:C9"/>
    <mergeCell ref="D8:D9"/>
  </mergeCells>
  <phoneticPr fontId="5" type="noConversion"/>
  <printOptions horizontalCentered="1"/>
  <pageMargins left="0.35433070866141736" right="0.35433070866141736" top="0.78740157480314965" bottom="0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lentelė</vt:lpstr>
      <vt:lpstr>bendras lėšų poreikis </vt:lpstr>
      <vt:lpstr>vertinimo kriterijai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2012-11-30T12:06:49Z</cp:lastPrinted>
  <dcterms:created xsi:type="dcterms:W3CDTF">2004-04-19T12:01:47Z</dcterms:created>
  <dcterms:modified xsi:type="dcterms:W3CDTF">2012-11-30T12:06:58Z</dcterms:modified>
</cp:coreProperties>
</file>