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19200" windowHeight="11580" tabRatio="859"/>
  </bookViews>
  <sheets>
    <sheet name="1 lentelė" sheetId="8" r:id="rId1"/>
    <sheet name="bendras lesu poreikis" sheetId="22" r:id="rId2"/>
    <sheet name="vertinimo kriterijai" sheetId="4" r:id="rId3"/>
  </sheets>
  <definedNames>
    <definedName name="_xlnm.Print_Area" localSheetId="2">'vertinimo kriterijai'!$A$1:$G$44</definedName>
    <definedName name="_xlnm.Print_Titles" localSheetId="0">'1 lentelė'!$6:$8</definedName>
    <definedName name="_xlnm.Print_Titles" localSheetId="2">'vertinimo kriterijai'!$7:$8</definedName>
  </definedNames>
  <calcPr calcId="145621"/>
</workbook>
</file>

<file path=xl/calcChain.xml><?xml version="1.0" encoding="utf-8"?>
<calcChain xmlns="http://schemas.openxmlformats.org/spreadsheetml/2006/main">
  <c r="S29" i="8" l="1"/>
  <c r="V24" i="8" l="1"/>
  <c r="U24" i="8"/>
  <c r="M25" i="8"/>
  <c r="N24" i="8"/>
  <c r="O24" i="8"/>
  <c r="R26" i="8"/>
  <c r="S26" i="8"/>
  <c r="Q25" i="8"/>
  <c r="I25" i="8"/>
  <c r="J24" i="8"/>
  <c r="K24" i="8" l="1"/>
  <c r="R66" i="8" l="1"/>
  <c r="T59" i="8" l="1"/>
  <c r="R36" i="8" l="1"/>
  <c r="T26" i="8"/>
  <c r="R82" i="8"/>
  <c r="Q82" i="8" s="1"/>
  <c r="R49" i="8"/>
  <c r="S45" i="8"/>
  <c r="R44" i="8"/>
  <c r="S44" i="8"/>
  <c r="R40" i="8"/>
  <c r="S40" i="8"/>
  <c r="S36" i="8"/>
  <c r="R32" i="8"/>
  <c r="S32" i="8"/>
  <c r="T32" i="8"/>
  <c r="R31" i="8"/>
  <c r="S31" i="8"/>
  <c r="R30" i="8"/>
  <c r="S30" i="8"/>
  <c r="T24" i="8"/>
  <c r="R24" i="8"/>
  <c r="S24" i="8"/>
  <c r="R23" i="8"/>
  <c r="S23" i="8"/>
  <c r="R20" i="8"/>
  <c r="S20" i="8"/>
  <c r="R19" i="8"/>
  <c r="S19" i="8"/>
  <c r="T19" i="8"/>
  <c r="R18" i="8"/>
  <c r="S18" i="8"/>
  <c r="R15" i="8"/>
  <c r="R13" i="8"/>
  <c r="S13" i="8"/>
  <c r="R14" i="8"/>
  <c r="S14" i="8"/>
  <c r="T14" i="8"/>
  <c r="R94" i="8" l="1"/>
  <c r="Q155" i="8"/>
  <c r="R42" i="8" l="1"/>
  <c r="Q92" i="8" l="1"/>
  <c r="R115" i="8"/>
  <c r="R84" i="8"/>
  <c r="R119" i="8"/>
  <c r="T58" i="8"/>
  <c r="Q58" i="8" s="1"/>
  <c r="T77" i="8"/>
  <c r="Q77" i="8" s="1"/>
  <c r="Q76" i="8"/>
  <c r="T67" i="8"/>
  <c r="T69" i="8"/>
  <c r="Q69" i="8" s="1"/>
  <c r="T70" i="8"/>
  <c r="U59" i="8"/>
  <c r="U60" i="8"/>
  <c r="E35" i="4"/>
  <c r="V66" i="8"/>
  <c r="R17" i="8"/>
  <c r="S17" i="8"/>
  <c r="T13" i="8"/>
  <c r="T94" i="8"/>
  <c r="Q94" i="8" s="1"/>
  <c r="Q93" i="8"/>
  <c r="I24" i="8"/>
  <c r="Q24" i="8"/>
  <c r="Q101" i="8"/>
  <c r="R103" i="8"/>
  <c r="D23" i="22"/>
  <c r="R46" i="8"/>
  <c r="S46" i="8"/>
  <c r="T46" i="8"/>
  <c r="T53" i="8" s="1"/>
  <c r="Q45" i="8"/>
  <c r="R29" i="8"/>
  <c r="T29" i="8"/>
  <c r="Q75" i="8"/>
  <c r="R96" i="8"/>
  <c r="Q96" i="8" s="1"/>
  <c r="Q95" i="8"/>
  <c r="Q154" i="8" s="1"/>
  <c r="D22" i="22" s="1"/>
  <c r="Q102" i="8"/>
  <c r="T103" i="8"/>
  <c r="Q103" i="8" s="1"/>
  <c r="P101" i="8"/>
  <c r="P102" i="8"/>
  <c r="N102" i="8"/>
  <c r="N101" i="8"/>
  <c r="M101" i="8" s="1"/>
  <c r="Q60" i="8"/>
  <c r="Q153" i="8" s="1"/>
  <c r="D21" i="22" s="1"/>
  <c r="P66" i="8"/>
  <c r="M66" i="8" s="1"/>
  <c r="T74" i="8"/>
  <c r="Q74" i="8" s="1"/>
  <c r="Q71" i="8"/>
  <c r="Q68" i="8"/>
  <c r="Q59" i="8"/>
  <c r="Q27" i="8"/>
  <c r="V90" i="8"/>
  <c r="U74" i="8"/>
  <c r="V74" i="8"/>
  <c r="R50" i="8"/>
  <c r="Q50" i="8" s="1"/>
  <c r="Q49" i="8"/>
  <c r="U43" i="8"/>
  <c r="R43" i="8"/>
  <c r="Q43" i="8" s="1"/>
  <c r="S43" i="8"/>
  <c r="Q41" i="8"/>
  <c r="R39" i="8"/>
  <c r="Q39" i="8" s="1"/>
  <c r="S39" i="8"/>
  <c r="Q37" i="8"/>
  <c r="R33" i="8"/>
  <c r="S33" i="8"/>
  <c r="T33" i="8"/>
  <c r="Q31" i="8"/>
  <c r="R22" i="8"/>
  <c r="S22" i="8"/>
  <c r="T22" i="8"/>
  <c r="Q19" i="8"/>
  <c r="Q14" i="8"/>
  <c r="G24" i="4"/>
  <c r="F24" i="4"/>
  <c r="E24" i="4"/>
  <c r="L29" i="8"/>
  <c r="R129" i="8"/>
  <c r="Q129" i="8" s="1"/>
  <c r="Q119" i="8"/>
  <c r="N119" i="8"/>
  <c r="R131" i="8"/>
  <c r="Q130" i="8"/>
  <c r="R116" i="8"/>
  <c r="Q116" i="8" s="1"/>
  <c r="Q115" i="8"/>
  <c r="Q89" i="8"/>
  <c r="R52" i="8"/>
  <c r="Q51" i="8"/>
  <c r="R48" i="8"/>
  <c r="Q47" i="8"/>
  <c r="Q44" i="8"/>
  <c r="Q42" i="8"/>
  <c r="Q40" i="8"/>
  <c r="Q38" i="8"/>
  <c r="Q36" i="8"/>
  <c r="Q32" i="8"/>
  <c r="Q30" i="8"/>
  <c r="Q23" i="8"/>
  <c r="Q20" i="8"/>
  <c r="Q18" i="8"/>
  <c r="Q15" i="8"/>
  <c r="T114" i="8"/>
  <c r="Q114" i="8" s="1"/>
  <c r="Q113" i="8"/>
  <c r="R90" i="8"/>
  <c r="R88" i="8"/>
  <c r="Q88" i="8" s="1"/>
  <c r="Q85" i="8"/>
  <c r="Q84" i="8"/>
  <c r="T79" i="8"/>
  <c r="Q79" i="8" s="1"/>
  <c r="Q78" i="8"/>
  <c r="Q70" i="8"/>
  <c r="Q67" i="8"/>
  <c r="U114" i="8"/>
  <c r="F17" i="22"/>
  <c r="F16" i="22"/>
  <c r="F18" i="22"/>
  <c r="F20" i="22"/>
  <c r="F21" i="22"/>
  <c r="F23" i="22"/>
  <c r="V43" i="8"/>
  <c r="V22" i="8"/>
  <c r="V17" i="8"/>
  <c r="V116" i="8"/>
  <c r="V112" i="8"/>
  <c r="V117" i="8"/>
  <c r="U112" i="8"/>
  <c r="U39" i="8"/>
  <c r="U22" i="8"/>
  <c r="U17" i="8"/>
  <c r="E23" i="22"/>
  <c r="E21" i="22"/>
  <c r="E18" i="22"/>
  <c r="E17" i="22"/>
  <c r="E16" i="22"/>
  <c r="I58" i="8"/>
  <c r="I67" i="8"/>
  <c r="I70" i="8"/>
  <c r="I81" i="8"/>
  <c r="M27" i="8"/>
  <c r="M148" i="8" s="1"/>
  <c r="C16" i="22" s="1"/>
  <c r="M14" i="8"/>
  <c r="M19" i="8"/>
  <c r="P24" i="8"/>
  <c r="M24" i="8" s="1"/>
  <c r="N31" i="8"/>
  <c r="M31" i="8" s="1"/>
  <c r="M37" i="8"/>
  <c r="M41" i="8"/>
  <c r="M49" i="8"/>
  <c r="M15" i="8"/>
  <c r="M20" i="8"/>
  <c r="N26" i="8"/>
  <c r="M26" i="8" s="1"/>
  <c r="M32" i="8"/>
  <c r="M42" i="8"/>
  <c r="M45" i="8"/>
  <c r="M13" i="8"/>
  <c r="M18" i="8"/>
  <c r="N23" i="8"/>
  <c r="N29" i="8" s="1"/>
  <c r="M30" i="8"/>
  <c r="M36" i="8"/>
  <c r="M40" i="8"/>
  <c r="M44" i="8"/>
  <c r="N47" i="8"/>
  <c r="M47" i="8" s="1"/>
  <c r="N51" i="8"/>
  <c r="M51" i="8" s="1"/>
  <c r="M52" i="8" s="1"/>
  <c r="M78" i="8"/>
  <c r="M79" i="8" s="1"/>
  <c r="M80" i="8"/>
  <c r="M85" i="8"/>
  <c r="N89" i="8"/>
  <c r="M89" i="8" s="1"/>
  <c r="M106" i="8"/>
  <c r="M113" i="8"/>
  <c r="M114" i="8" s="1"/>
  <c r="M119" i="8"/>
  <c r="M134" i="8"/>
  <c r="M136" i="8"/>
  <c r="M137" i="8" s="1"/>
  <c r="P137" i="8"/>
  <c r="P133" i="8"/>
  <c r="P114" i="8"/>
  <c r="P117" i="8" s="1"/>
  <c r="P94" i="8"/>
  <c r="P84" i="8"/>
  <c r="P79" i="8"/>
  <c r="P77" i="8"/>
  <c r="M77" i="8" s="1"/>
  <c r="P74" i="8"/>
  <c r="P69" i="8"/>
  <c r="M69" i="8" s="1"/>
  <c r="P33" i="8"/>
  <c r="P22" i="8"/>
  <c r="P17" i="8"/>
  <c r="O46" i="8"/>
  <c r="O43" i="8"/>
  <c r="O39" i="8"/>
  <c r="O31" i="8"/>
  <c r="O33" i="8" s="1"/>
  <c r="O23" i="8"/>
  <c r="O26" i="8"/>
  <c r="O22" i="8"/>
  <c r="O17" i="8"/>
  <c r="N135" i="8"/>
  <c r="N129" i="8"/>
  <c r="M129" i="8" s="1"/>
  <c r="N131" i="8"/>
  <c r="N116" i="8"/>
  <c r="N112" i="8"/>
  <c r="M112" i="8" s="1"/>
  <c r="N96" i="8"/>
  <c r="N88" i="8"/>
  <c r="N84" i="8"/>
  <c r="N52" i="8"/>
  <c r="N50" i="8"/>
  <c r="N46" i="8"/>
  <c r="N43" i="8"/>
  <c r="N39" i="8"/>
  <c r="N22" i="8"/>
  <c r="N17" i="8"/>
  <c r="I16" i="8"/>
  <c r="I21" i="8"/>
  <c r="I28" i="8"/>
  <c r="I83" i="8"/>
  <c r="I86" i="8"/>
  <c r="L60" i="8"/>
  <c r="I60" i="8" s="1"/>
  <c r="I72" i="8"/>
  <c r="L59" i="8"/>
  <c r="L66" i="8" s="1"/>
  <c r="I68" i="8"/>
  <c r="I71" i="8"/>
  <c r="I102" i="8"/>
  <c r="I75" i="8"/>
  <c r="I93" i="8"/>
  <c r="I27" i="8"/>
  <c r="I148" i="8" s="1"/>
  <c r="B16" i="22" s="1"/>
  <c r="I14" i="8"/>
  <c r="J19" i="8"/>
  <c r="I19" i="8" s="1"/>
  <c r="J31" i="8"/>
  <c r="I31" i="8"/>
  <c r="I37" i="8"/>
  <c r="I41" i="8"/>
  <c r="J49" i="8"/>
  <c r="J50" i="8"/>
  <c r="I49" i="8"/>
  <c r="I50" i="8"/>
  <c r="I15" i="8"/>
  <c r="I20" i="8"/>
  <c r="I26" i="8"/>
  <c r="J32" i="8"/>
  <c r="I32" i="8" s="1"/>
  <c r="I38" i="8"/>
  <c r="J42" i="8"/>
  <c r="I42" i="8" s="1"/>
  <c r="I45" i="8"/>
  <c r="I98" i="8"/>
  <c r="I13" i="8"/>
  <c r="J18" i="8"/>
  <c r="I18" i="8" s="1"/>
  <c r="J23" i="8"/>
  <c r="J29" i="8" s="1"/>
  <c r="I29" i="8" s="1"/>
  <c r="I30" i="8"/>
  <c r="I36" i="8"/>
  <c r="I39" i="8" s="1"/>
  <c r="I40" i="8"/>
  <c r="J44" i="8"/>
  <c r="I44" i="8" s="1"/>
  <c r="J47" i="8"/>
  <c r="J48" i="8" s="1"/>
  <c r="I51" i="8"/>
  <c r="I52" i="8" s="1"/>
  <c r="I85" i="8"/>
  <c r="I89" i="8"/>
  <c r="I90" i="8"/>
  <c r="I97" i="8"/>
  <c r="I100" i="8"/>
  <c r="I101" i="8"/>
  <c r="I103" i="8"/>
  <c r="J119" i="8"/>
  <c r="I119" i="8"/>
  <c r="I130" i="8"/>
  <c r="I131" i="8"/>
  <c r="L103" i="8"/>
  <c r="L100" i="8"/>
  <c r="L94" i="8"/>
  <c r="L84" i="8"/>
  <c r="I84" i="8" s="1"/>
  <c r="L77" i="8"/>
  <c r="L74" i="8"/>
  <c r="I74" i="8" s="1"/>
  <c r="L69" i="8"/>
  <c r="I69" i="8" s="1"/>
  <c r="L33" i="8"/>
  <c r="L22" i="8"/>
  <c r="L17" i="8"/>
  <c r="J131" i="8"/>
  <c r="J103" i="8"/>
  <c r="J100" i="8"/>
  <c r="J90" i="8"/>
  <c r="J88" i="8"/>
  <c r="I88" i="8" s="1"/>
  <c r="J66" i="8"/>
  <c r="I66" i="8" s="1"/>
  <c r="J52" i="8"/>
  <c r="J46" i="8"/>
  <c r="I46" i="8" s="1"/>
  <c r="J39" i="8"/>
  <c r="J17" i="8"/>
  <c r="K46" i="8"/>
  <c r="K43" i="8"/>
  <c r="K39" i="8"/>
  <c r="K31" i="8"/>
  <c r="K33" i="8" s="1"/>
  <c r="K23" i="8"/>
  <c r="K29" i="8" s="1"/>
  <c r="K18" i="8"/>
  <c r="K19" i="8"/>
  <c r="K17" i="8"/>
  <c r="M70" i="8"/>
  <c r="M58" i="8"/>
  <c r="M75" i="8"/>
  <c r="M67" i="8"/>
  <c r="V129" i="8"/>
  <c r="U129" i="8"/>
  <c r="V131" i="8"/>
  <c r="U131" i="8"/>
  <c r="M131" i="8"/>
  <c r="M71" i="8"/>
  <c r="U90" i="8"/>
  <c r="U88" i="8"/>
  <c r="M88" i="8"/>
  <c r="M68" i="8"/>
  <c r="M60" i="8"/>
  <c r="M153" i="8" s="1"/>
  <c r="C21" i="22" s="1"/>
  <c r="R117" i="8"/>
  <c r="T117" i="8"/>
  <c r="V46" i="8"/>
  <c r="U46" i="8"/>
  <c r="V39" i="8"/>
  <c r="V135" i="8"/>
  <c r="V133" i="8"/>
  <c r="U135" i="8"/>
  <c r="U133" i="8"/>
  <c r="U116" i="8"/>
  <c r="U117" i="8" s="1"/>
  <c r="M116" i="8"/>
  <c r="M135" i="8"/>
  <c r="M133" i="8"/>
  <c r="M95" i="8"/>
  <c r="M154" i="8" s="1"/>
  <c r="C22" i="22" s="1"/>
  <c r="M155" i="8"/>
  <c r="C23" i="22" s="1"/>
  <c r="M91" i="8"/>
  <c r="M93" i="8"/>
  <c r="M150" i="8" s="1"/>
  <c r="C18" i="22" s="1"/>
  <c r="M50" i="8"/>
  <c r="U51" i="8"/>
  <c r="U52" i="8" s="1"/>
  <c r="U50" i="8"/>
  <c r="U47" i="8"/>
  <c r="U48" i="8" s="1"/>
  <c r="U31" i="8"/>
  <c r="U33" i="8" s="1"/>
  <c r="E15" i="22"/>
  <c r="U23" i="8"/>
  <c r="U26" i="8"/>
  <c r="E14" i="22" s="1"/>
  <c r="V51" i="8"/>
  <c r="V52" i="8" s="1"/>
  <c r="V31" i="8"/>
  <c r="V33" i="8" s="1"/>
  <c r="V23" i="8"/>
  <c r="V26" i="8"/>
  <c r="F14" i="22" s="1"/>
  <c r="V50" i="8"/>
  <c r="V47" i="8"/>
  <c r="V48" i="8" s="1"/>
  <c r="M59" i="8"/>
  <c r="M22" i="8"/>
  <c r="I77" i="8"/>
  <c r="N117" i="8"/>
  <c r="O53" i="8"/>
  <c r="I59" i="8"/>
  <c r="I152" i="8" s="1"/>
  <c r="J129" i="8"/>
  <c r="I129" i="8" s="1"/>
  <c r="I155" i="8"/>
  <c r="B23" i="22" s="1"/>
  <c r="Q90" i="8"/>
  <c r="K53" i="8"/>
  <c r="V104" i="8"/>
  <c r="Q52" i="8"/>
  <c r="Q131" i="8"/>
  <c r="J43" i="8"/>
  <c r="N90" i="8"/>
  <c r="Q48" i="8"/>
  <c r="Q22" i="8"/>
  <c r="L104" i="8"/>
  <c r="L139" i="8" s="1"/>
  <c r="M48" i="8"/>
  <c r="P103" i="8"/>
  <c r="P104" i="8" s="1"/>
  <c r="N33" i="8"/>
  <c r="N34" i="8" s="1"/>
  <c r="N103" i="8"/>
  <c r="M103" i="8" s="1"/>
  <c r="Q26" i="8"/>
  <c r="Q33" i="8"/>
  <c r="I149" i="8"/>
  <c r="B17" i="22" s="1"/>
  <c r="R104" i="8"/>
  <c r="T17" i="8"/>
  <c r="Q17" i="8" s="1"/>
  <c r="Q117" i="8" l="1"/>
  <c r="M39" i="8"/>
  <c r="U138" i="8"/>
  <c r="V138" i="8"/>
  <c r="M23" i="8"/>
  <c r="M102" i="8"/>
  <c r="T34" i="8"/>
  <c r="T54" i="8" s="1"/>
  <c r="M147" i="8"/>
  <c r="C15" i="22" s="1"/>
  <c r="M152" i="8"/>
  <c r="M151" i="8" s="1"/>
  <c r="J138" i="8"/>
  <c r="I138" i="8" s="1"/>
  <c r="J33" i="8"/>
  <c r="M96" i="8"/>
  <c r="K22" i="8"/>
  <c r="M84" i="8"/>
  <c r="O29" i="8"/>
  <c r="O34" i="8" s="1"/>
  <c r="O54" i="8" s="1"/>
  <c r="O140" i="8" s="1"/>
  <c r="P138" i="8"/>
  <c r="Q147" i="8"/>
  <c r="Q152" i="8"/>
  <c r="I17" i="8"/>
  <c r="I43" i="8"/>
  <c r="Q13" i="8"/>
  <c r="M90" i="8"/>
  <c r="M145" i="8"/>
  <c r="C13" i="22" s="1"/>
  <c r="V53" i="8"/>
  <c r="M117" i="8"/>
  <c r="V139" i="8"/>
  <c r="L34" i="8"/>
  <c r="J53" i="8"/>
  <c r="I146" i="8"/>
  <c r="B14" i="22" s="1"/>
  <c r="I147" i="8"/>
  <c r="B15" i="22" s="1"/>
  <c r="M17" i="8"/>
  <c r="D20" i="22"/>
  <c r="F15" i="22"/>
  <c r="F13" i="22"/>
  <c r="N104" i="8"/>
  <c r="U29" i="8"/>
  <c r="E13" i="22"/>
  <c r="E12" i="22" s="1"/>
  <c r="U53" i="8"/>
  <c r="M94" i="8"/>
  <c r="M149" i="8"/>
  <c r="C17" i="22" s="1"/>
  <c r="M74" i="8"/>
  <c r="J104" i="8"/>
  <c r="J22" i="8"/>
  <c r="I22" i="8" s="1"/>
  <c r="I150" i="8"/>
  <c r="B18" i="22" s="1"/>
  <c r="M43" i="8"/>
  <c r="M33" i="8"/>
  <c r="Q148" i="8"/>
  <c r="D16" i="22" s="1"/>
  <c r="Q149" i="8"/>
  <c r="D17" i="22" s="1"/>
  <c r="M29" i="8"/>
  <c r="M34" i="8" s="1"/>
  <c r="U34" i="8"/>
  <c r="K34" i="8"/>
  <c r="K54" i="8" s="1"/>
  <c r="K140" i="8" s="1"/>
  <c r="B9" i="22" s="1"/>
  <c r="M146" i="8"/>
  <c r="C14" i="22" s="1"/>
  <c r="C12" i="22" s="1"/>
  <c r="Q150" i="8"/>
  <c r="D18" i="22" s="1"/>
  <c r="Q146" i="8"/>
  <c r="D14" i="22" s="1"/>
  <c r="C20" i="22"/>
  <c r="C19" i="22" s="1"/>
  <c r="I104" i="8"/>
  <c r="S53" i="8"/>
  <c r="Q29" i="8"/>
  <c r="S34" i="8"/>
  <c r="S54" i="8" s="1"/>
  <c r="S140" i="8" s="1"/>
  <c r="D15" i="22"/>
  <c r="D19" i="22"/>
  <c r="Q151" i="8"/>
  <c r="R34" i="8"/>
  <c r="Q34" i="8" s="1"/>
  <c r="F19" i="22"/>
  <c r="P139" i="8"/>
  <c r="M104" i="8"/>
  <c r="B20" i="22"/>
  <c r="J139" i="8"/>
  <c r="J34" i="8"/>
  <c r="J54" i="8" s="1"/>
  <c r="U54" i="8"/>
  <c r="L54" i="8"/>
  <c r="L140" i="8" s="1"/>
  <c r="B10" i="22" s="1"/>
  <c r="Q46" i="8"/>
  <c r="Q57" i="8"/>
  <c r="Q145" i="8" s="1"/>
  <c r="T66" i="8"/>
  <c r="Q66" i="8" s="1"/>
  <c r="R138" i="8"/>
  <c r="I33" i="8"/>
  <c r="R53" i="8"/>
  <c r="V29" i="8"/>
  <c r="V34" i="8" s="1"/>
  <c r="V54" i="8" s="1"/>
  <c r="V140" i="8" s="1"/>
  <c r="F7" i="22" s="1"/>
  <c r="N48" i="8"/>
  <c r="N53" i="8" s="1"/>
  <c r="N54" i="8" s="1"/>
  <c r="I47" i="8"/>
  <c r="I48" i="8" s="1"/>
  <c r="I53" i="8" s="1"/>
  <c r="N138" i="8"/>
  <c r="I23" i="8"/>
  <c r="I145" i="8" s="1"/>
  <c r="I94" i="8"/>
  <c r="I153" i="8"/>
  <c r="B21" i="22" s="1"/>
  <c r="M46" i="8"/>
  <c r="M53" i="8" s="1"/>
  <c r="M54" i="8" s="1"/>
  <c r="P29" i="8"/>
  <c r="P34" i="8" s="1"/>
  <c r="P54" i="8" s="1"/>
  <c r="T104" i="8"/>
  <c r="T139" i="8" s="1"/>
  <c r="T140" i="8" s="1"/>
  <c r="D10" i="22" s="1"/>
  <c r="U66" i="8"/>
  <c r="U104" i="8" s="1"/>
  <c r="U139" i="8" s="1"/>
  <c r="U140" i="8" s="1"/>
  <c r="E7" i="22" s="1"/>
  <c r="E20" i="22"/>
  <c r="E19" i="22" s="1"/>
  <c r="D9" i="22" l="1"/>
  <c r="C9" i="22"/>
  <c r="F12" i="22"/>
  <c r="F11" i="22" s="1"/>
  <c r="M144" i="8"/>
  <c r="M156" i="8" s="1"/>
  <c r="E11" i="22"/>
  <c r="I34" i="8"/>
  <c r="I54" i="8" s="1"/>
  <c r="C11" i="22"/>
  <c r="D13" i="22"/>
  <c r="D12" i="22" s="1"/>
  <c r="D11" i="22" s="1"/>
  <c r="Q144" i="8"/>
  <c r="Q156" i="8" s="1"/>
  <c r="B13" i="22"/>
  <c r="B12" i="22" s="1"/>
  <c r="I144" i="8"/>
  <c r="R139" i="8"/>
  <c r="Q138" i="8"/>
  <c r="J140" i="8"/>
  <c r="I139" i="8"/>
  <c r="I151" i="8"/>
  <c r="N139" i="8"/>
  <c r="M138" i="8"/>
  <c r="Q53" i="8"/>
  <c r="R54" i="8"/>
  <c r="Q54" i="8" s="1"/>
  <c r="Q104" i="8"/>
  <c r="B19" i="22"/>
  <c r="P140" i="8"/>
  <c r="C10" i="22" s="1"/>
  <c r="M139" i="8" l="1"/>
  <c r="N140" i="8"/>
  <c r="Q139" i="8"/>
  <c r="I156" i="8"/>
  <c r="B8" i="22"/>
  <c r="B7" i="22" s="1"/>
  <c r="I140" i="8"/>
  <c r="R140" i="8"/>
  <c r="B11" i="22"/>
  <c r="C8" i="22" l="1"/>
  <c r="C7" i="22" s="1"/>
  <c r="M140" i="8"/>
  <c r="D8" i="22"/>
  <c r="D7" i="22" s="1"/>
  <c r="Q140" i="8"/>
</calcChain>
</file>

<file path=xl/comments1.xml><?xml version="1.0" encoding="utf-8"?>
<comments xmlns="http://schemas.openxmlformats.org/spreadsheetml/2006/main">
  <authors>
    <author>Snieguole Kacerauskaite</author>
  </authors>
  <commentList>
    <comment ref="D75" authorId="0">
      <text>
        <r>
          <rPr>
            <sz val="9"/>
            <color indexed="81"/>
            <rFont val="Tahoma"/>
            <family val="2"/>
            <charset val="186"/>
          </rPr>
          <t xml:space="preserve">
buvusi 2-oji spec.mokykla</t>
        </r>
      </text>
    </comment>
    <comment ref="R82" authorId="0">
      <text>
        <r>
          <rPr>
            <b/>
            <sz val="9"/>
            <color indexed="81"/>
            <rFont val="Tahoma"/>
            <family val="2"/>
            <charset val="186"/>
          </rPr>
          <t>Snieguole Kacerauskaite:</t>
        </r>
        <r>
          <rPr>
            <sz val="9"/>
            <color indexed="81"/>
            <rFont val="Tahoma"/>
            <family val="2"/>
            <charset val="186"/>
          </rPr>
          <t xml:space="preserve">
30,0 - "Baltijos"gimnazijai, 20.0 - 'Vydūno" m-klai</t>
        </r>
      </text>
    </comment>
    <comment ref="D101" authorId="0">
      <text>
        <r>
          <rPr>
            <sz val="9"/>
            <color indexed="81"/>
            <rFont val="Tahoma"/>
            <family val="2"/>
            <charset val="186"/>
          </rPr>
          <t>Klaipėdos miesto centrinės ir šiaurinės dalies ikimokyklinio ugdymo įstaigų patalpų renovacija ir įrangos įsigijimas įvykdyti 2011 m., 2012 m. lėšos reikalingos kreditiniams įsiskolinimams padengti.</t>
        </r>
        <r>
          <rPr>
            <sz val="9"/>
            <color indexed="81"/>
            <rFont val="Tahoma"/>
            <family val="2"/>
            <charset val="186"/>
          </rPr>
          <t xml:space="preserve">
</t>
        </r>
      </text>
    </comment>
  </commentList>
</comments>
</file>

<file path=xl/comments2.xml><?xml version="1.0" encoding="utf-8"?>
<comments xmlns="http://schemas.openxmlformats.org/spreadsheetml/2006/main">
  <authors>
    <author>Snieguole Kacerauskaite</author>
  </authors>
  <commentList>
    <comment ref="D15" authorId="0">
      <text>
        <r>
          <rPr>
            <sz val="9"/>
            <color indexed="81"/>
            <rFont val="Tahoma"/>
            <family val="2"/>
            <charset val="186"/>
          </rPr>
          <t xml:space="preserve">Projekto "Gamtos mokslų kokybės gerinimas Vakarų Latvijoje ir Lietuvoje" įgyvendinimas  („Vėtrungės“, Vytauto Didžiojo ir Hermano Zudermano gimnazijose)
</t>
        </r>
      </text>
    </comment>
    <comment ref="D18" authorId="0">
      <text>
        <r>
          <rPr>
            <sz val="9"/>
            <color indexed="81"/>
            <rFont val="Tahoma"/>
            <family val="2"/>
            <charset val="186"/>
          </rPr>
          <t xml:space="preserve">Projekto "Gamtos mokslų kokybės gerinimas Vakarų Latvijoje ir Lietuvoje" įgyvendinimas  („Vėtrungės“, Vytauto Didžiojo ir Hermano Zudermano gimnazijose)
</t>
        </r>
      </text>
    </comment>
    <comment ref="E34" authorId="0">
      <text>
        <r>
          <rPr>
            <sz val="9"/>
            <color indexed="81"/>
            <rFont val="Tahoma"/>
            <family val="2"/>
            <charset val="186"/>
          </rPr>
          <t xml:space="preserve">1) Klaipėdos ,,Varpo“ gimnazijos pastato šiluminė renovacija,
2) Klaipėdos Liudviko Stulpino  pagrindinės mokyklos pastato  šiluminė renovacija,
3) Klaipėdos Sendvario pagrindinės mokyklos pastato šiluminė renovacija, 
4) Vitės pagrindinės mokyklos pastato modernizavimas,
5) Klaipėdos „Santarvės“ pagrindinės mokyklos pastato rekonstrukcija
</t>
        </r>
      </text>
    </comment>
  </commentList>
</comments>
</file>

<file path=xl/sharedStrings.xml><?xml version="1.0" encoding="utf-8"?>
<sst xmlns="http://schemas.openxmlformats.org/spreadsheetml/2006/main" count="510" uniqueCount="249">
  <si>
    <t>P5.1.2.3</t>
  </si>
  <si>
    <r>
      <t xml:space="preserve">Gautinos lėšos iš kitų savivaldybių atsiskaitymui už atvykusius mokinius </t>
    </r>
    <r>
      <rPr>
        <b/>
        <sz val="10"/>
        <rFont val="Times New Roman"/>
        <family val="1"/>
      </rPr>
      <t>SB(MK)</t>
    </r>
  </si>
  <si>
    <r>
      <t>Savivaldybės privatizavimo fondo lėšos</t>
    </r>
    <r>
      <rPr>
        <b/>
        <sz val="10"/>
        <rFont val="Times New Roman"/>
        <family val="1"/>
      </rPr>
      <t xml:space="preserve"> PF</t>
    </r>
  </si>
  <si>
    <r>
      <t xml:space="preserve">Valstybės biudžeto lėšos </t>
    </r>
    <r>
      <rPr>
        <b/>
        <sz val="10"/>
        <rFont val="Times New Roman"/>
        <family val="1"/>
      </rPr>
      <t>LRVB</t>
    </r>
  </si>
  <si>
    <t>Finansavimo šaltinių suvestinė</t>
  </si>
  <si>
    <t>Finansavimo šaltiniai</t>
  </si>
  <si>
    <t>I</t>
  </si>
  <si>
    <t>LRVB</t>
  </si>
  <si>
    <t>ES</t>
  </si>
  <si>
    <t>PF</t>
  </si>
  <si>
    <t>08</t>
  </si>
  <si>
    <t>tūkst. Lt</t>
  </si>
  <si>
    <t>10</t>
  </si>
  <si>
    <t>11</t>
  </si>
  <si>
    <t>Iš viso tikslui:</t>
  </si>
  <si>
    <t>Iš viso programai:</t>
  </si>
  <si>
    <t>Programos tikslo kodas</t>
  </si>
  <si>
    <t>SB(MK)</t>
  </si>
  <si>
    <t>Uždavinio kodas</t>
  </si>
  <si>
    <t>Priemonės kodas</t>
  </si>
  <si>
    <t>Priemonės požymis</t>
  </si>
  <si>
    <t>Asignavimų valdytojo kodas</t>
  </si>
  <si>
    <t>Finansavimo šaltinis</t>
  </si>
  <si>
    <t>Iš viso</t>
  </si>
  <si>
    <t>Išlaidoms</t>
  </si>
  <si>
    <t>01</t>
  </si>
  <si>
    <t>09</t>
  </si>
  <si>
    <t>SB</t>
  </si>
  <si>
    <t>Iš viso:</t>
  </si>
  <si>
    <t>02</t>
  </si>
  <si>
    <t>SB(VB)</t>
  </si>
  <si>
    <t>03</t>
  </si>
  <si>
    <t>Iš viso uždaviniui:</t>
  </si>
  <si>
    <t>04</t>
  </si>
  <si>
    <t>05</t>
  </si>
  <si>
    <t>06</t>
  </si>
  <si>
    <t>Turtui įsigyti ir finansiniams įsipareigojimams vykdyti</t>
  </si>
  <si>
    <t>Pavadinimas</t>
  </si>
  <si>
    <t>Iš jų darbo užmokesčiui</t>
  </si>
  <si>
    <t>SAVIVALDYBĖS  LĖŠOS, IŠ VISO:</t>
  </si>
  <si>
    <t>KITI ŠALTINIAI, IŠ VISO:</t>
  </si>
  <si>
    <t>IŠ VISO:</t>
  </si>
  <si>
    <t>SB(SP)</t>
  </si>
  <si>
    <t>VERTINIMO KRITERIJŲ SUVESTINĖ</t>
  </si>
  <si>
    <t>2 lentelė</t>
  </si>
  <si>
    <t xml:space="preserve">Kodas </t>
  </si>
  <si>
    <t>(Savivaldybės strateginio tikslo pavadinimas)</t>
  </si>
  <si>
    <t>(Programos, skirtos šiam strateginiam tikslui įgyvendinti, pavadinimas)</t>
  </si>
  <si>
    <t>Įgyvendinamas įstaigos strateginio tikslo kodas, programos kodas</t>
  </si>
  <si>
    <t>Vertinimo kriterijus</t>
  </si>
  <si>
    <t>Vertinimo kriterijaus kodas</t>
  </si>
  <si>
    <t>2012-ųjų metų planas</t>
  </si>
  <si>
    <t>Mato vienetas</t>
  </si>
  <si>
    <t>Rezultato:</t>
  </si>
  <si>
    <t>1-ajam programos tikslui</t>
  </si>
  <si>
    <t>2-ajam programos tikslui</t>
  </si>
  <si>
    <t>Produkto:</t>
  </si>
  <si>
    <t>1-ajam uždaviniui</t>
  </si>
  <si>
    <t>2-ajam uždaviniui</t>
  </si>
  <si>
    <t>03.10</t>
  </si>
  <si>
    <t>KLAIPĖDOS MIESTO SAVIVALDYBĖS UGDYMO PROCESO UŽTIKRINIMO PROGRAMA (Nr. 10)</t>
  </si>
  <si>
    <t>P-10-01-01-01</t>
  </si>
  <si>
    <t>P-10-01-02-01</t>
  </si>
  <si>
    <t>P-10-02-01-01</t>
  </si>
  <si>
    <t>P-10-02-01-02</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</si>
  <si>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</si>
  <si>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</si>
  <si>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</si>
  <si>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r>
      <t xml:space="preserve">Kiti finansavimo šaltiniai </t>
    </r>
    <r>
      <rPr>
        <b/>
        <sz val="10"/>
        <rFont val="Times New Roman"/>
        <family val="1"/>
      </rPr>
      <t>Kt</t>
    </r>
  </si>
  <si>
    <t>UGDYMO PROCESO UŽTIKRINIMO PROGRAMOS (NR. 10)</t>
  </si>
  <si>
    <t>10 Ugdymo proceso užtikrinimo programa</t>
  </si>
  <si>
    <t>2013-ųjų metų planas</t>
  </si>
  <si>
    <t>P-10-01-01-02</t>
  </si>
  <si>
    <t>1 lentelė</t>
  </si>
  <si>
    <t>R-10-01-01</t>
  </si>
  <si>
    <t>R-10-01-03</t>
  </si>
  <si>
    <t>R-10-02-01</t>
  </si>
  <si>
    <t>R-10-02-02</t>
  </si>
  <si>
    <t xml:space="preserve"> P5.1.4.6</t>
  </si>
  <si>
    <t>P11</t>
  </si>
  <si>
    <t>P5.1.4.1</t>
  </si>
  <si>
    <t>P5.1.4.8</t>
  </si>
  <si>
    <t xml:space="preserve"> P5.1.2.2</t>
  </si>
  <si>
    <t xml:space="preserve"> P5.1.3.4</t>
  </si>
  <si>
    <r>
      <t>03 Strateginis tikslas. Užtikrinti gyventojams aukštą švietimo, kultūros, socialinių, sporto ir sveikatos apsaugos paslaugų kokybę ir prieinamu</t>
    </r>
    <r>
      <rPr>
        <b/>
        <sz val="10"/>
        <rFont val="Times New Roman"/>
        <family val="1"/>
        <charset val="186"/>
      </rPr>
      <t>mą</t>
    </r>
    <r>
      <rPr>
        <b/>
        <sz val="10"/>
        <rFont val="Times New Roman"/>
        <family val="1"/>
      </rPr>
      <t xml:space="preserve"> </t>
    </r>
  </si>
  <si>
    <t>Kt</t>
  </si>
  <si>
    <t>3-iajam uždaviniui</t>
  </si>
  <si>
    <t>P5.1.2.2.</t>
  </si>
  <si>
    <t xml:space="preserve">Turtui įsigyti ir finansiniams įsipareigojimams vykdyti </t>
  </si>
  <si>
    <t>1</t>
  </si>
  <si>
    <t>2</t>
  </si>
  <si>
    <r>
      <t xml:space="preserve">Pajamų įmokos už paslaugas </t>
    </r>
    <r>
      <rPr>
        <b/>
        <sz val="10"/>
        <rFont val="Times New Roman"/>
        <family val="1"/>
      </rPr>
      <t>SB(SP)</t>
    </r>
  </si>
  <si>
    <t xml:space="preserve">2011–2014 METŲ KLAIPĖDOS MIESTO SAVIVALDYBĖS </t>
  </si>
  <si>
    <t>Asignavimai 2011-iesiems metams</t>
  </si>
  <si>
    <t>2012-ųjų metų asignavimų planas</t>
  </si>
  <si>
    <t>Brandos egzaminų administravimas ir išorės vertinimo vykdymas</t>
  </si>
  <si>
    <t>KVJUD</t>
  </si>
  <si>
    <t>Sudaryti sąlygas gauti pedagoginę, psichologinę, metodinę ir kitą ugdymo proceso kokybės gerinimui įtakos turinčią pagalbą</t>
  </si>
  <si>
    <t>2014-ųjų metų planas</t>
  </si>
  <si>
    <t>Sudaryti sąlygas aukštesnei bendrojo lavinimo ir neformaliojo švietimo kokybei</t>
  </si>
  <si>
    <t>P-10-01-02-02</t>
  </si>
  <si>
    <t>2090/1130</t>
  </si>
  <si>
    <t>2100/1110</t>
  </si>
  <si>
    <t>2120/1100</t>
  </si>
  <si>
    <t>1. Pedagoginėje psichologinėje tarnyboje aptarnautų asmenų skaičius per metus</t>
  </si>
  <si>
    <t>2. Ugdytinių skaičius Regos ugdymo centre</t>
  </si>
  <si>
    <t xml:space="preserve">1. Įstaigų, per metus prijungtų prie LITNET paslaugų sistemos, skaičius </t>
  </si>
  <si>
    <t>Edukacinių renginių organizavimas, dalyvavimas respublikiniuose renginiuose, kitų projektų vykdymas</t>
  </si>
  <si>
    <t>Jaunimo saviraiškos centro išvystymo galimybių studijos (koncepcijos ir ekonominio modelio) parengimas</t>
  </si>
  <si>
    <t>Ugdymo proceso ir aplinkos užtikrinimas neformaliojo ugdymo įstaigose</t>
  </si>
  <si>
    <t>Vadovų atestavimas, dalyvavimas respublikiniuose mokymuose ir miesto metodinėje veikloje</t>
  </si>
  <si>
    <t>Lėšų poreikis biudžetiniams 2012-iesiems metams</t>
  </si>
  <si>
    <t>*Švietimo įstaigų paruošimas naujiems mokslo metams</t>
  </si>
  <si>
    <t>*Šilumos tinklų ir karšto vandens tinklų sistemų priežiūra</t>
  </si>
  <si>
    <t>*Ryšių kabelių kanalų nuoma</t>
  </si>
  <si>
    <t>*Šilumos ir karšto vandens tiekimo sistemų renovacija ir remontas</t>
  </si>
  <si>
    <t>*Švietimo įstaigų pastatų apsauga</t>
  </si>
  <si>
    <t>*Priešgaisrinių reikalavimų vykdymas švietimo įstaigose</t>
  </si>
  <si>
    <t>*Kiemų ir privažiavimų kelių prie švietimo įstaigų sutvarkymas</t>
  </si>
  <si>
    <t>Neformaliojo švietimo įstaigų pastatų rekonstrukcija:</t>
  </si>
  <si>
    <t>Ikimokyklinio ugdymo įstaigų, kuriose vykdomi struktūriniai pertvarkymai, patalpų pritaikymas ugdymo proceso organizavimui:</t>
  </si>
  <si>
    <t>P5.1.1.4</t>
  </si>
  <si>
    <t>Neformaliojo švietimo įstaigų patalpų pritaikymas ugdymo proceso organizavimui:</t>
  </si>
  <si>
    <t>Vaikų laisvalaikio centro (Molo g. 2);</t>
  </si>
  <si>
    <t>Moksleivių saviraiškos centro (naujų patalpų Smiltelės  g .22 pritaikymas).</t>
  </si>
  <si>
    <t>Renovuoti ugdymo įstaigų pastatus ir patalpas</t>
  </si>
  <si>
    <t>Organizuoti materialinį, ūkinį ir techninį ugdymo įstaigų aptarnavimą</t>
  </si>
  <si>
    <t>Padidinti ikimokyklinio ugdymo paslaugų prieinamumą</t>
  </si>
  <si>
    <t>*LITNET paslaugų užtikrinimas</t>
  </si>
  <si>
    <t>Ikimokyklinio amžiaus vaikų registravimo ir apskaitos informacinės sistemos sukūrimas</t>
  </si>
  <si>
    <t>Ugdymo įstaigų ūkinio aptarnavimo organizavimas:</t>
  </si>
  <si>
    <t>Užtikrinti kokybišką ugdymo proceso organizavimą</t>
  </si>
  <si>
    <t>12</t>
  </si>
  <si>
    <t>Transporto priemonės įsigijimas Klaipėdos lopšelio-darželio „Sakalėlis“ specialiųjų  poreikių vaikams pavėžėti</t>
  </si>
  <si>
    <t xml:space="preserve">Ugdymo proceso ir aplinkos užtikrinimas gimnazijose, vidurinio  ugdymo mokyklose, progimnazijose, pagrindinio ugdymo ir  nevalstybinėse bendrojo ugdymo mokyklose </t>
  </si>
  <si>
    <r>
      <t xml:space="preserve">Klaipėdos miesto </t>
    </r>
    <r>
      <rPr>
        <b/>
        <sz val="10"/>
        <rFont val="Times New Roman"/>
        <family val="1"/>
        <charset val="186"/>
      </rPr>
      <t>ikimokyklinio ugdymo įstaigų</t>
    </r>
    <r>
      <rPr>
        <sz val="10"/>
        <rFont val="Times New Roman"/>
        <family val="1"/>
        <charset val="186"/>
      </rPr>
      <t xml:space="preserve"> patalpų renovacija ir įrangos įsigijimas</t>
    </r>
  </si>
  <si>
    <r>
      <t>Įrengimų įsigijimas ugdymo įstaigų maisto blokuose</t>
    </r>
    <r>
      <rPr>
        <sz val="10"/>
        <rFont val="Times New Roman"/>
        <family val="1"/>
        <charset val="186"/>
      </rPr>
      <t xml:space="preserve"> pagal tikrinančių institucijų reikalavimus </t>
    </r>
  </si>
  <si>
    <r>
      <t xml:space="preserve">Sanitarinių patalpų einamasis remontas </t>
    </r>
    <r>
      <rPr>
        <b/>
        <sz val="10"/>
        <rFont val="Times New Roman"/>
        <family val="1"/>
        <charset val="186"/>
      </rPr>
      <t>ugdymo įstaigose</t>
    </r>
  </si>
  <si>
    <t>Sudaryti sąlygas ugdytis ir įgyti išsilavinimą pagal įvairias ugdymo programas</t>
  </si>
  <si>
    <t>3. Įsigytų vaikiškų lovyčių skaičius</t>
  </si>
  <si>
    <t>2-iajam programos tikslui</t>
  </si>
  <si>
    <t>R-10-01-04</t>
  </si>
  <si>
    <t>P-10-01-01-04</t>
  </si>
  <si>
    <t>P-10-01-01-05</t>
  </si>
  <si>
    <t>P-10-01-02-04</t>
  </si>
  <si>
    <t>P-10-02-03-01</t>
  </si>
  <si>
    <t>P-10-02-03-02</t>
  </si>
  <si>
    <t>P-10-02-03-04</t>
  </si>
  <si>
    <t>P-10-02-02-01</t>
  </si>
  <si>
    <t>P-10-02-02-02</t>
  </si>
  <si>
    <t>P-10-02-02-03</t>
  </si>
  <si>
    <t>2013-ųjų metų lėšų poreikis</t>
  </si>
  <si>
    <t>2014-ųjų metų  lėšų poreikis</t>
  </si>
  <si>
    <t>Patalpų pritaikymas bendrojo ugdymo mokyklų reikmėms:</t>
  </si>
  <si>
    <t>SB(P)</t>
  </si>
  <si>
    <r>
      <t xml:space="preserve">Paskolos lėšos </t>
    </r>
    <r>
      <rPr>
        <b/>
        <sz val="10"/>
        <rFont val="Times New Roman"/>
        <family val="1"/>
      </rPr>
      <t>SB(P)</t>
    </r>
  </si>
  <si>
    <t>Ikimokyklinio ugdymo įstaigų pastatų modernizavimas:</t>
  </si>
  <si>
    <t xml:space="preserve">Programos (Nr. 10) lėšų poreikis ir numatomi finansavimo šaltiniai       </t>
  </si>
  <si>
    <t>Ekonominės klasifikacijos grupės</t>
  </si>
  <si>
    <t>1. IŠ VISO LĖŠŲ POREIKIS:</t>
  </si>
  <si>
    <t>1.1. išlaidoms, iš jų:</t>
  </si>
  <si>
    <t>1.1.1. darbo užmokesčiui</t>
  </si>
  <si>
    <t>1.2. turtui įsigyti ir finansiniams įsipareigojimams vykdyti</t>
  </si>
  <si>
    <t>2. FINANSAVIMO ŠALTINIAI:</t>
  </si>
  <si>
    <t>2.1. SAVIVALDYBĖS  LĖŠOS, IŠ VISO:</t>
  </si>
  <si>
    <t>2.2. KITI ŠALTINIAI, IŠ VISO:</t>
  </si>
  <si>
    <r>
      <t xml:space="preserve">2.2.1. Europos Sąjungos paramos lėšos </t>
    </r>
    <r>
      <rPr>
        <b/>
        <sz val="10"/>
        <rFont val="Times New Roman"/>
        <family val="1"/>
        <charset val="186"/>
      </rPr>
      <t>ES</t>
    </r>
  </si>
  <si>
    <r>
      <t xml:space="preserve">2.2.2. valstybės biudžeto lėšos </t>
    </r>
    <r>
      <rPr>
        <b/>
        <sz val="10"/>
        <rFont val="Times New Roman"/>
        <family val="1"/>
        <charset val="186"/>
      </rPr>
      <t>LRVB</t>
    </r>
  </si>
  <si>
    <t>2014-ųjų metų lėšų poreikis</t>
  </si>
  <si>
    <t>07</t>
  </si>
  <si>
    <t xml:space="preserve"> TIKSLŲ, UŽDAVINIŲ, PRIEMONIŲ IR PRIEMONIŲ IŠLAIDŲ SUVESTINĖ</t>
  </si>
  <si>
    <t>Gerinti ugdymo sąlygas ir aplinką</t>
  </si>
  <si>
    <t>2010-ųjų metų faktas</t>
  </si>
  <si>
    <t>Bendrojo ugdymo mokyklų pastatų modernizavimas:</t>
  </si>
  <si>
    <t>R-10-01-02</t>
  </si>
  <si>
    <t xml:space="preserve">2. Mokyklos ūkiui steigėjo skirtų lėšų suma (tūkst. Lt), tenkanti vienam mokiniui </t>
  </si>
  <si>
    <t>3. Mokinių, kuriems kompensuojamos pavežėjimo išlaidos, skaičius</t>
  </si>
  <si>
    <t>1497/633</t>
  </si>
  <si>
    <t>4. Suorganizuotų renginių, skirtų miesto mokiniams ir mokytojams, sk.</t>
  </si>
  <si>
    <t>P1</t>
  </si>
  <si>
    <t>*Švietimo įstaigų patalpų šildymas</t>
  </si>
  <si>
    <t>n.d.</t>
  </si>
  <si>
    <t>augantis</t>
  </si>
  <si>
    <t>R-10-01-05</t>
  </si>
  <si>
    <t>1. Gyventojų, kurie mieste teikiamas ugdymo paslaugas vertina teigiamai, dalis, proc.</t>
  </si>
  <si>
    <t>3. Įgijusių išsilavinimą mokinių dalis, proc.</t>
  </si>
  <si>
    <t>1. Švietimo įstaigų dalis, kuriose atlikta rekonstrukcijos ar renovacijos darbų, proc.</t>
  </si>
  <si>
    <t>2. Švietimo įstaigų dalis, neturinčių higienos paso, proc.</t>
  </si>
  <si>
    <t>1. Ugdoma vaikų ikimokyklinio ugdymo įstaigose, skaičius</t>
  </si>
  <si>
    <t>3. Mokinių skaičius bendrojo ugdymo mokyklose</t>
  </si>
  <si>
    <t>4. Mokinių skaičius nevalstybinėse bendrojo ugdymo mokyklose</t>
  </si>
  <si>
    <t>5. Ugdytinių, dalyvaujančių neformaliojo ugdymo įgyvendinimo programose, skaičius</t>
  </si>
  <si>
    <t>3. Bendrojo lavinimo mokyklų pedagogų kvalifikacijai tobulinti panaudotų ir skirtų mokinio krepšelio lėšų santykis, proc.</t>
  </si>
  <si>
    <t>P-10-01-02-03</t>
  </si>
  <si>
    <t>1. Modernizuota bendrojo ugdymo mokyklų pastatų, skaičius</t>
  </si>
  <si>
    <t>5. Modernias gamtos mokslų laboratorijas turinčių gimnazijų ir vidurinių mokyklų dalis, proc.</t>
  </si>
  <si>
    <t>3. Modernizuota neformaliojo švietimo įstaigų pastatų, skaičius</t>
  </si>
  <si>
    <t>2. Modernizuota ikimokyklinio ugdymo įstaigų pastatų, skaičius</t>
  </si>
  <si>
    <t>P-10-02-01-03</t>
  </si>
  <si>
    <t>2. Sukurta ikimokyklinio amžiaus vaikų registravimo ir apskaitos programa, vnt.</t>
  </si>
  <si>
    <t>P-10-01-01-03</t>
  </si>
  <si>
    <r>
      <t xml:space="preserve">Klaipėdos valstybinio jūrų uosto direkcijos lėšos </t>
    </r>
    <r>
      <rPr>
        <b/>
        <sz val="10"/>
        <rFont val="Times New Roman"/>
        <family val="1"/>
        <charset val="186"/>
      </rPr>
      <t>KVJUD</t>
    </r>
  </si>
  <si>
    <r>
      <t xml:space="preserve">2.2.3. Klaipėdos valstybinio jūrų uosto direkcijos lėšos </t>
    </r>
    <r>
      <rPr>
        <b/>
        <sz val="10"/>
        <rFont val="Times New Roman"/>
        <family val="1"/>
        <charset val="186"/>
      </rPr>
      <t>KVJUD</t>
    </r>
  </si>
  <si>
    <t>Klaipėdos lopšelio-darželio ,,Obelėlė“ Valstiečių g. 10 pastato renovacija</t>
  </si>
  <si>
    <t>Klaipėdos „Varpo“ gimnazijos pastato šiluminė renovacija;</t>
  </si>
  <si>
    <t>Klaipėdos „Santarvės“ pagrindinės mokyklos pastato rekonstrukcija;</t>
  </si>
  <si>
    <t>Klaipėdos „Vėtrungės“ gimnazijos  pastato rekonstrukcija;</t>
  </si>
  <si>
    <t>Klaipėdos Liudviko Stulpino  pagrindinės mokyklos pastato Klaipėdoje,  Bandužių g. 4, energetinių charakteristikų gerinimas (pastato šiluminė renovacija);</t>
  </si>
  <si>
    <t>Klaipėdos Vitės pagrindinės mokyklos Švyturio g. 2, pastato modernizavimas;</t>
  </si>
  <si>
    <t>Klaipėdos Vytauto Didžiojo gimnazijos pastato (S. Daukanto g. 3) rekonstrukcija</t>
  </si>
  <si>
    <t>Klaipėdos Adomo Brako dailės mokyklos pastato kapitalinis remontas (šiluminė renovacija);</t>
  </si>
  <si>
    <t>Klaipėdos jaunimo centro pastatų (Puodžių g. 1) modernizavimas</t>
  </si>
  <si>
    <t xml:space="preserve">Klaipėdos Liudviko Stulpino pagrindinės mokyklos teritorijos aptvėrimas                </t>
  </si>
  <si>
    <t>Klaipėdos „Baltijos“ gimnazijos (Baltijos pr. 51);</t>
  </si>
  <si>
    <t>Klaipėdos Vydūno vidurinės mokyklos (Sulupės g. 26);</t>
  </si>
  <si>
    <t>Klaipėdos „Aukuro“ gimnazijos (Statybininkų pr. 7)</t>
  </si>
  <si>
    <r>
      <t xml:space="preserve">Projekto „Gamtos mokslų kokybės gerinimas Vakarų Latvijoje ir Lietuvoje“ įgyvendinimas </t>
    </r>
    <r>
      <rPr>
        <sz val="10"/>
        <rFont val="Times New Roman"/>
        <family val="1"/>
        <charset val="186"/>
      </rPr>
      <t xml:space="preserve"> („Vėtrungės“, Vytauto Didžiojo ir Hermano Zudermano gimnazijose)</t>
    </r>
  </si>
  <si>
    <t>Lopšelio-darželio „Aitvarėlis“;</t>
  </si>
  <si>
    <t>Lopšelio-darželio „Pumpurėlis“;</t>
  </si>
  <si>
    <t>Regos ugdymo centro</t>
  </si>
  <si>
    <t>Mokyklos-darželio „Nykštukas“;</t>
  </si>
  <si>
    <t>Spec. mokyklos-darželio „Versmė“;</t>
  </si>
  <si>
    <t>Mokyklos-darželio „Inkarėlis“;</t>
  </si>
  <si>
    <t>Mokinių pavėžėjimo užtikrinimas</t>
  </si>
  <si>
    <t>2. Ikimokyklinio ugdymo įstaigose ugdomų 1–6 metų vaikų dalis, palyginti su bendru to amžiaus  vaikų skaičiumi, pokytis, proc.</t>
  </si>
  <si>
    <t xml:space="preserve">4. Vaikų, dalyvaujančių neformaliojo ugdymo programose, finansuojamose iš mokinio krepšelio lėšų, dalis nuo visų besimokančių mokinių skaičiaus, proc. </t>
  </si>
  <si>
    <t>2. Ugdoma vaikų mokyklose-darželiuose, iš jų mokinių, skaičius</t>
  </si>
  <si>
    <t>1. Įrengta lopšelio grupių 1–3 metų vaikams, skaičius</t>
  </si>
  <si>
    <r>
      <t xml:space="preserve">Funkcinės klasifikacijos kodas </t>
    </r>
    <r>
      <rPr>
        <b/>
        <sz val="10"/>
        <rFont val="Times New Roman"/>
        <family val="1"/>
      </rPr>
      <t xml:space="preserve"> </t>
    </r>
  </si>
  <si>
    <t>Klaipėdos „Smeltės“ progimnazijos pastato Klaipėdoje, Reikjaviko g. 17, modernizavimas</t>
  </si>
  <si>
    <t>Klaipėdos Sendvario pagrindinės mokyklos pastato modernizavimas (atnaujinimas) Tilžės g. 39, Klaipėda;</t>
  </si>
  <si>
    <t>Klaipėdos Vydūno vidurinės mokyklos ir Klaipėdos Salio Šemerio suaugusiųjų gimnazijos pastato Klaipėdoje, Sulupės g. 26, modernizavimas</t>
  </si>
  <si>
    <t>Klaipėdos lopšelių-darželių (2012 m.: „Dobiliukas“, „Papartėlis“, „Žiburėlis“, 2013 m.: „Putinėlis“, „Vėrinėlis“, mokyklos-darželio „Šaltinėlis“, 2014 m. : „Du gaideliai“, „Linelis“,  „Bangelė“, „Berželis“)  ir  Regos ugdymo centro pastatų langų pakeitimas</t>
  </si>
  <si>
    <r>
      <t xml:space="preserve">2.1.1.  savivaldybės biudžeto lėšos </t>
    </r>
    <r>
      <rPr>
        <b/>
        <sz val="10"/>
        <rFont val="Times New Roman"/>
        <family val="1"/>
        <charset val="186"/>
      </rPr>
      <t>SB</t>
    </r>
  </si>
  <si>
    <r>
      <t xml:space="preserve">2.1.2. Pajamų įmokos už paslaugas </t>
    </r>
    <r>
      <rPr>
        <b/>
        <sz val="10"/>
        <rFont val="Times New Roman"/>
        <family val="1"/>
        <charset val="186"/>
      </rPr>
      <t>SB(SP)</t>
    </r>
  </si>
  <si>
    <r>
      <t xml:space="preserve">2.1.3.  Valstybės biudžeto specialiosios tikslinės dotacijos lėšos </t>
    </r>
    <r>
      <rPr>
        <b/>
        <sz val="10"/>
        <rFont val="Times New Roman"/>
        <family val="1"/>
        <charset val="186"/>
      </rPr>
      <t>SB(VB)</t>
    </r>
  </si>
  <si>
    <r>
      <t xml:space="preserve">2.1.4. gautinos lėšos iš kitų savivaldybių atsiskaitymui už atvykusius mokinius </t>
    </r>
    <r>
      <rPr>
        <b/>
        <sz val="10"/>
        <rFont val="Times New Roman"/>
        <family val="1"/>
        <charset val="186"/>
      </rPr>
      <t>SB(MK)</t>
    </r>
  </si>
  <si>
    <r>
      <t xml:space="preserve">2.1.5. paskolos lėšos </t>
    </r>
    <r>
      <rPr>
        <b/>
        <sz val="10"/>
        <rFont val="Times New Roman"/>
        <family val="1"/>
        <charset val="186"/>
      </rPr>
      <t>SB(P)</t>
    </r>
  </si>
  <si>
    <r>
      <t xml:space="preserve">2.1.6. Savivaldybės privatizavimo fondo lėšos </t>
    </r>
    <r>
      <rPr>
        <b/>
        <sz val="10"/>
        <rFont val="Times New Roman"/>
        <family val="1"/>
        <charset val="186"/>
      </rPr>
      <t>PF</t>
    </r>
  </si>
  <si>
    <r>
      <t xml:space="preserve">2.2.4. kiti finansavimo šaltiniai </t>
    </r>
    <r>
      <rPr>
        <b/>
        <sz val="10"/>
        <rFont val="Times New Roman"/>
        <family val="1"/>
        <charset val="186"/>
      </rPr>
      <t>Kt</t>
    </r>
  </si>
  <si>
    <r>
      <t xml:space="preserve">Ugdymo proceso ir aplinkos užtikrinimas </t>
    </r>
    <r>
      <rPr>
        <b/>
        <sz val="10"/>
        <color indexed="10"/>
        <rFont val="Times New Roman"/>
        <family val="1"/>
        <charset val="186"/>
      </rPr>
      <t>lopšeliuose-darželiuose</t>
    </r>
  </si>
  <si>
    <r>
      <rPr>
        <b/>
        <sz val="10"/>
        <color indexed="10"/>
        <rFont val="Times New Roman"/>
        <family val="1"/>
        <charset val="186"/>
      </rPr>
      <t>Vaikiškų lovyčių įsigijimas</t>
    </r>
    <r>
      <rPr>
        <sz val="10"/>
        <rFont val="Times New Roman"/>
        <family val="1"/>
        <charset val="186"/>
      </rPr>
      <t xml:space="preserve"> vaikų lopšeliuose-darželiuose (2012 m.: „Puriena“, „Želmenėlis“, „Volungėlė“, „Žiogelis“, „Traukinukas“, </t>
    </r>
    <r>
      <rPr>
        <sz val="10"/>
        <color indexed="10"/>
        <rFont val="Times New Roman"/>
        <family val="1"/>
        <charset val="186"/>
      </rPr>
      <t>„Liepaitė“</t>
    </r>
    <r>
      <rPr>
        <sz val="10"/>
        <rFont val="Times New Roman"/>
        <family val="1"/>
        <charset val="186"/>
      </rPr>
      <t xml:space="preserve">, </t>
    </r>
    <r>
      <rPr>
        <sz val="10"/>
        <color indexed="10"/>
        <rFont val="Times New Roman"/>
        <family val="1"/>
        <charset val="186"/>
      </rPr>
      <t>„Papartėlis“</t>
    </r>
    <r>
      <rPr>
        <sz val="10"/>
        <rFont val="Times New Roman"/>
        <family val="1"/>
        <charset val="186"/>
      </rPr>
      <t xml:space="preserve">, </t>
    </r>
    <r>
      <rPr>
        <sz val="10"/>
        <color indexed="10"/>
        <rFont val="Times New Roman"/>
        <family val="1"/>
        <charset val="186"/>
      </rPr>
      <t>„Inkarėlis"</t>
    </r>
    <r>
      <rPr>
        <sz val="10"/>
        <rFont val="Times New Roman"/>
        <family val="1"/>
        <charset val="186"/>
      </rPr>
      <t>)</t>
    </r>
  </si>
  <si>
    <r>
      <t>Projekto</t>
    </r>
    <r>
      <rPr>
        <b/>
        <sz val="10"/>
        <color indexed="10"/>
        <rFont val="Times New Roman"/>
        <family val="1"/>
        <charset val="186"/>
      </rPr>
      <t xml:space="preserve"> „Pedagoginių psichologinių tarnybų infrastruktūros, švietimo įstaigose dirbančių specialiųjų pedagogų, psichologų, logopedų darbo aplinkos modernizavimas“ </t>
    </r>
    <r>
      <rPr>
        <sz val="10"/>
        <color indexed="10"/>
        <rFont val="Times New Roman"/>
        <family val="1"/>
        <charset val="186"/>
      </rPr>
      <t>įgyvendinimas</t>
    </r>
  </si>
  <si>
    <r>
      <t xml:space="preserve">Ugdymo proceso ir aplinkos užtikrinimas </t>
    </r>
    <r>
      <rPr>
        <b/>
        <sz val="10"/>
        <color rgb="FFFF0000"/>
        <rFont val="Times New Roman"/>
        <family val="1"/>
        <charset val="186"/>
      </rPr>
      <t>mokyklose-darželiuose ir pradinėse mokyklose</t>
    </r>
  </si>
  <si>
    <r>
      <t xml:space="preserve">Klaipėdos regos ugdymo centro </t>
    </r>
    <r>
      <rPr>
        <sz val="10"/>
        <color rgb="FFFF0000"/>
        <rFont val="Times New Roman"/>
        <family val="1"/>
        <charset val="186"/>
      </rPr>
      <t>veiklos organizavimo užtikrinimas</t>
    </r>
  </si>
  <si>
    <r>
      <t xml:space="preserve">BĮ Klaipėdos pedagoginės psichologinės tarnybos </t>
    </r>
    <r>
      <rPr>
        <sz val="10"/>
        <color rgb="FFFF0000"/>
        <rFont val="Times New Roman"/>
        <family val="1"/>
      </rPr>
      <t>veiklos organizavimo užtikrinimas</t>
    </r>
  </si>
  <si>
    <r>
      <t xml:space="preserve">BĮ Klaipėdos pedagogų švietimo ir kultūros centro </t>
    </r>
    <r>
      <rPr>
        <sz val="10"/>
        <color rgb="FFFF0000"/>
        <rFont val="Times New Roman"/>
        <family val="1"/>
      </rPr>
      <t xml:space="preserve"> veiklos organizavimo užtikrinimas</t>
    </r>
  </si>
  <si>
    <t>2012-ųjų asignavimų planas</t>
  </si>
  <si>
    <r>
      <t xml:space="preserve">Lifto įrengimas </t>
    </r>
    <r>
      <rPr>
        <sz val="10"/>
        <color indexed="10"/>
        <rFont val="Times New Roman"/>
        <family val="1"/>
        <charset val="186"/>
      </rPr>
      <t>Klaipėdos Medeinės mokykloje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</si>
</sst>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Red]0.0"/>
  </numFmts>
  <fonts count="39">
    <font>
      <sz val="10"/>
      <name val="Arial"/>
      <charset val="186"/>
    </font>
    <font>
      <sz val="8"/>
      <name val="Arial"/>
      <family val="2"/>
      <charset val="186"/>
    </font>
    <font>
      <sz val="9"/>
      <name val="Times New Roman"/>
      <family val="1"/>
    </font>
    <font>
      <sz val="10"/>
      <name val="Times New Roman"/>
      <family val="1"/>
    </font>
    <font>
      <b/>
      <sz val="10"/>
      <name val="Times New Roman"/>
      <family val="1"/>
    </font>
    <font>
      <sz val="10"/>
      <name val="Arial"/>
      <family val="2"/>
      <charset val="186"/>
    </font>
    <font>
      <sz val="10"/>
      <name val="Times New Roman"/>
      <family val="1"/>
      <charset val="186"/>
    </font>
    <font>
      <b/>
      <sz val="10"/>
      <name val="Times New Roman"/>
      <family val="1"/>
      <charset val="186"/>
    </font>
    <font>
      <sz val="10"/>
      <name val="TimesLT"/>
      <charset val="186"/>
    </font>
    <font>
      <sz val="12"/>
      <name val="Times New Roman"/>
      <family val="1"/>
    </font>
    <font>
      <b/>
      <sz val="9"/>
      <name val="Times New Roman"/>
      <family val="1"/>
    </font>
    <font>
      <b/>
      <sz val="10"/>
      <name val="Times New Roman"/>
      <family val="1"/>
      <charset val="204"/>
    </font>
    <font>
      <b/>
      <u/>
      <sz val="10"/>
      <name val="Times New Roman"/>
      <family val="1"/>
      <charset val="186"/>
    </font>
    <font>
      <b/>
      <sz val="11"/>
      <name val="Times New Roman"/>
      <family val="1"/>
    </font>
    <font>
      <sz val="9"/>
      <color indexed="81"/>
      <name val="Tahoma"/>
      <family val="2"/>
      <charset val="186"/>
    </font>
    <font>
      <b/>
      <sz val="12"/>
      <name val="Times New Roman"/>
      <family val="1"/>
      <charset val="186"/>
    </font>
    <font>
      <sz val="12"/>
      <name val="Times New Roman"/>
      <family val="1"/>
      <charset val="186"/>
    </font>
    <font>
      <sz val="8"/>
      <name val="Arial"/>
      <family val="2"/>
      <charset val="186"/>
    </font>
    <font>
      <sz val="10"/>
      <name val="Times New Roman Baltic"/>
      <charset val="186"/>
    </font>
    <font>
      <sz val="10"/>
      <name val="Times New Roman Baltic"/>
      <family val="1"/>
      <charset val="186"/>
    </font>
    <font>
      <b/>
      <sz val="12"/>
      <name val="Times New Roman Baltic"/>
      <family val="1"/>
      <charset val="186"/>
    </font>
    <font>
      <b/>
      <sz val="10"/>
      <name val="Times New Roman Baltic"/>
      <family val="1"/>
      <charset val="186"/>
    </font>
    <font>
      <b/>
      <sz val="10"/>
      <name val="Times New Roman Baltic"/>
      <charset val="186"/>
    </font>
    <font>
      <i/>
      <u/>
      <sz val="10"/>
      <name val="Times New Roman Baltic"/>
      <charset val="186"/>
    </font>
    <font>
      <u/>
      <sz val="10"/>
      <name val="Times New Roman Baltic"/>
      <charset val="186"/>
    </font>
    <font>
      <i/>
      <u/>
      <sz val="10"/>
      <name val="Times New Roman"/>
      <family val="1"/>
      <charset val="186"/>
    </font>
    <font>
      <b/>
      <sz val="12"/>
      <name val="Times New Roman"/>
      <family val="1"/>
    </font>
    <font>
      <sz val="12"/>
      <name val="Arial"/>
      <family val="2"/>
      <charset val="186"/>
    </font>
    <font>
      <b/>
      <sz val="11"/>
      <name val="Times New Roman Baltic"/>
      <family val="1"/>
      <charset val="186"/>
    </font>
    <font>
      <b/>
      <sz val="8"/>
      <name val="Times New Roman Baltic"/>
      <family val="1"/>
      <charset val="186"/>
    </font>
    <font>
      <sz val="10"/>
      <name val="Times New Roman"/>
      <family val="1"/>
      <charset val="204"/>
    </font>
    <font>
      <sz val="10"/>
      <color indexed="10"/>
      <name val="Times New Roman"/>
      <family val="1"/>
      <charset val="186"/>
    </font>
    <font>
      <b/>
      <sz val="10"/>
      <color indexed="10"/>
      <name val="Times New Roman"/>
      <family val="1"/>
      <charset val="186"/>
    </font>
    <font>
      <sz val="10"/>
      <color rgb="FFFF0000"/>
      <name val="Times New Roman"/>
      <family val="1"/>
      <charset val="186"/>
    </font>
    <font>
      <sz val="10"/>
      <color rgb="FFFF0000"/>
      <name val="Times New Roman"/>
      <family val="1"/>
    </font>
    <font>
      <b/>
      <sz val="10"/>
      <color rgb="FFFF0000"/>
      <name val="Times New Roman"/>
      <family val="1"/>
      <charset val="186"/>
    </font>
    <font>
      <sz val="10"/>
      <color rgb="FFFF0000"/>
      <name val="Arial"/>
      <family val="2"/>
      <charset val="186"/>
    </font>
    <font>
      <b/>
      <sz val="10"/>
      <color rgb="FFFF0000"/>
      <name val="Times New Roman"/>
      <family val="1"/>
    </font>
    <font>
      <b/>
      <sz val="9"/>
      <color indexed="81"/>
      <name val="Tahoma"/>
      <family val="2"/>
      <charset val="18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indexed="45"/>
        <bgColor indexed="64"/>
      </patternFill>
    </fill>
    <fill>
      <patternFill patternType="solid">
        <fgColor theme="0" tint="-0.14999847407452621"/>
        <bgColor indexed="64"/>
      </patternFill>
    </fill>
    <fill>
      <patternFill patternType="solid">
        <fgColor theme="0"/>
        <bgColor indexed="64"/>
      </patternFill>
    </fill>
  </fills>
  <borders count="8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thin">
        <color indexed="8"/>
      </bottom>
      <diagonal/>
    </border>
    <border>
      <left/>
      <right style="thin">
        <color indexed="64"/>
      </right>
      <top/>
      <bottom style="thin">
        <color indexed="8"/>
      </bottom>
      <diagonal/>
    </border>
    <border>
      <left/>
      <right style="medium">
        <color indexed="64"/>
      </right>
      <top/>
      <bottom style="thin">
        <color indexed="8"/>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5" fillId="0" borderId="0"/>
    <xf numFmtId="0" fontId="8" fillId="0" borderId="0"/>
  </cellStyleXfs>
  <cellXfs count="1088">
    <xf numFmtId="0" fontId="0" fillId="0" borderId="0" xfId="0"/>
    <xf numFmtId="164" fontId="4" fillId="0" borderId="0" xfId="0" applyNumberFormat="1" applyFont="1" applyFill="1" applyBorder="1" applyAlignment="1">
      <alignment horizontal="center" vertical="top"/>
    </xf>
    <xf numFmtId="164" fontId="4" fillId="0" borderId="0" xfId="0" applyNumberFormat="1" applyFont="1" applyFill="1" applyBorder="1" applyAlignment="1">
      <alignment vertical="top"/>
    </xf>
    <xf numFmtId="164" fontId="6" fillId="0" borderId="1"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6" fillId="0" borderId="3" xfId="0" applyNumberFormat="1" applyFont="1" applyFill="1" applyBorder="1" applyAlignment="1">
      <alignment horizontal="center" vertical="top"/>
    </xf>
    <xf numFmtId="164" fontId="6" fillId="0" borderId="4" xfId="0" applyNumberFormat="1" applyFont="1" applyFill="1" applyBorder="1" applyAlignment="1">
      <alignment horizontal="center" vertical="top"/>
    </xf>
    <xf numFmtId="0" fontId="3" fillId="0" borderId="5" xfId="0" applyFont="1" applyBorder="1" applyAlignment="1">
      <alignment horizontal="center" vertical="top"/>
    </xf>
    <xf numFmtId="164" fontId="3" fillId="0" borderId="6" xfId="0" applyNumberFormat="1" applyFont="1" applyFill="1" applyBorder="1" applyAlignment="1">
      <alignment horizontal="center" vertical="top"/>
    </xf>
    <xf numFmtId="164" fontId="3" fillId="0" borderId="1" xfId="0" applyNumberFormat="1" applyFont="1" applyFill="1" applyBorder="1" applyAlignment="1">
      <alignment horizontal="center" vertical="top"/>
    </xf>
    <xf numFmtId="164" fontId="3" fillId="0" borderId="7" xfId="0" applyNumberFormat="1" applyFont="1" applyBorder="1" applyAlignment="1">
      <alignment horizontal="center" vertical="top"/>
    </xf>
    <xf numFmtId="164" fontId="3" fillId="0" borderId="6" xfId="0" applyNumberFormat="1" applyFont="1" applyBorder="1" applyAlignment="1">
      <alignment horizontal="center" vertical="top"/>
    </xf>
    <xf numFmtId="164" fontId="3" fillId="0" borderId="1" xfId="0" applyNumberFormat="1" applyFont="1" applyBorder="1" applyAlignment="1">
      <alignment horizontal="center" vertical="top"/>
    </xf>
    <xf numFmtId="164" fontId="3" fillId="0" borderId="7" xfId="0" applyNumberFormat="1" applyFont="1" applyFill="1" applyBorder="1" applyAlignment="1">
      <alignment horizontal="center" vertical="top"/>
    </xf>
    <xf numFmtId="164" fontId="3" fillId="2" borderId="5" xfId="0" applyNumberFormat="1" applyFont="1" applyFill="1" applyBorder="1" applyAlignment="1">
      <alignment horizontal="center" vertical="top" wrapText="1"/>
    </xf>
    <xf numFmtId="164" fontId="3" fillId="0" borderId="8" xfId="0" applyNumberFormat="1" applyFont="1" applyFill="1" applyBorder="1" applyAlignment="1">
      <alignment horizontal="center" vertical="top"/>
    </xf>
    <xf numFmtId="164" fontId="3" fillId="0" borderId="9" xfId="0" applyNumberFormat="1" applyFont="1" applyBorder="1" applyAlignment="1">
      <alignment horizontal="center" vertical="top"/>
    </xf>
    <xf numFmtId="164" fontId="3" fillId="0" borderId="8" xfId="0" applyNumberFormat="1" applyFont="1" applyBorder="1" applyAlignment="1">
      <alignment horizontal="center" vertical="top"/>
    </xf>
    <xf numFmtId="0" fontId="3" fillId="0" borderId="10" xfId="0" applyFont="1" applyBorder="1" applyAlignment="1">
      <alignment horizontal="center" vertical="top"/>
    </xf>
    <xf numFmtId="164" fontId="3" fillId="0" borderId="2" xfId="0" applyNumberFormat="1" applyFont="1" applyFill="1" applyBorder="1" applyAlignment="1">
      <alignment horizontal="center" vertical="top"/>
    </xf>
    <xf numFmtId="164" fontId="3" fillId="0" borderId="2" xfId="0" applyNumberFormat="1" applyFont="1" applyBorder="1" applyAlignment="1">
      <alignment horizontal="center" vertical="top"/>
    </xf>
    <xf numFmtId="0" fontId="3" fillId="0" borderId="11" xfId="0" applyFont="1" applyBorder="1" applyAlignment="1">
      <alignment horizontal="center" vertical="top"/>
    </xf>
    <xf numFmtId="164" fontId="3" fillId="0" borderId="12" xfId="0" applyNumberFormat="1" applyFont="1" applyFill="1" applyBorder="1" applyAlignment="1">
      <alignment horizontal="center" vertical="top"/>
    </xf>
    <xf numFmtId="164" fontId="3" fillId="0" borderId="13" xfId="0" applyNumberFormat="1" applyFont="1" applyFill="1" applyBorder="1" applyAlignment="1">
      <alignment horizontal="center" vertical="top"/>
    </xf>
    <xf numFmtId="164" fontId="3" fillId="0" borderId="14" xfId="0" applyNumberFormat="1" applyFont="1" applyBorder="1" applyAlignment="1">
      <alignment horizontal="center" vertical="top"/>
    </xf>
    <xf numFmtId="164" fontId="3" fillId="0" borderId="12" xfId="0" applyNumberFormat="1" applyFont="1" applyBorder="1" applyAlignment="1">
      <alignment horizontal="center" vertical="top"/>
    </xf>
    <xf numFmtId="164" fontId="3" fillId="0" borderId="13" xfId="0" applyNumberFormat="1" applyFont="1" applyBorder="1" applyAlignment="1">
      <alignment horizontal="center" vertical="top"/>
    </xf>
    <xf numFmtId="164" fontId="3" fillId="0" borderId="14" xfId="0" applyNumberFormat="1" applyFont="1" applyFill="1" applyBorder="1" applyAlignment="1">
      <alignment horizontal="center" vertical="top"/>
    </xf>
    <xf numFmtId="164" fontId="3" fillId="2" borderId="11" xfId="0" applyNumberFormat="1" applyFont="1" applyFill="1" applyBorder="1" applyAlignment="1">
      <alignment horizontal="center" vertical="top" wrapText="1"/>
    </xf>
    <xf numFmtId="164" fontId="4" fillId="3" borderId="15" xfId="0" applyNumberFormat="1" applyFont="1" applyFill="1" applyBorder="1" applyAlignment="1">
      <alignment horizontal="center" vertical="top"/>
    </xf>
    <xf numFmtId="164" fontId="3" fillId="0" borderId="16" xfId="0" applyNumberFormat="1" applyFont="1" applyBorder="1" applyAlignment="1">
      <alignment horizontal="center" vertical="top"/>
    </xf>
    <xf numFmtId="0" fontId="3" fillId="0" borderId="17" xfId="0" applyFont="1" applyFill="1" applyBorder="1" applyAlignment="1">
      <alignment horizontal="center" vertical="top" wrapText="1"/>
    </xf>
    <xf numFmtId="0" fontId="3" fillId="0" borderId="0" xfId="0" applyFont="1" applyBorder="1" applyAlignment="1">
      <alignment vertical="top"/>
    </xf>
    <xf numFmtId="164" fontId="3" fillId="0" borderId="3" xfId="0" applyNumberFormat="1" applyFont="1" applyFill="1" applyBorder="1" applyAlignment="1">
      <alignment horizontal="center" vertical="top"/>
    </xf>
    <xf numFmtId="164" fontId="3" fillId="0" borderId="10" xfId="0" applyNumberFormat="1" applyFont="1" applyBorder="1" applyAlignment="1">
      <alignment horizontal="center" vertical="top"/>
    </xf>
    <xf numFmtId="0" fontId="3" fillId="0" borderId="17" xfId="0" applyFont="1" applyBorder="1" applyAlignment="1">
      <alignment horizontal="center" vertical="top"/>
    </xf>
    <xf numFmtId="164" fontId="3" fillId="0" borderId="18" xfId="0" applyNumberFormat="1" applyFont="1" applyFill="1" applyBorder="1" applyAlignment="1">
      <alignment horizontal="center" vertical="top"/>
    </xf>
    <xf numFmtId="164" fontId="3" fillId="0" borderId="0" xfId="0" applyNumberFormat="1" applyFont="1" applyBorder="1" applyAlignment="1">
      <alignment horizontal="center" vertical="top"/>
    </xf>
    <xf numFmtId="164" fontId="3" fillId="0" borderId="19" xfId="0" applyNumberFormat="1" applyFont="1" applyFill="1" applyBorder="1" applyAlignment="1">
      <alignment horizontal="center" vertical="top"/>
    </xf>
    <xf numFmtId="164" fontId="3" fillId="0" borderId="20" xfId="0" applyNumberFormat="1" applyFont="1" applyFill="1" applyBorder="1" applyAlignment="1">
      <alignment horizontal="center" vertical="top"/>
    </xf>
    <xf numFmtId="164" fontId="3" fillId="0" borderId="21" xfId="0" applyNumberFormat="1" applyFont="1" applyFill="1" applyBorder="1" applyAlignment="1">
      <alignment horizontal="center" vertical="top"/>
    </xf>
    <xf numFmtId="164" fontId="6" fillId="0" borderId="17" xfId="0" applyNumberFormat="1" applyFont="1" applyBorder="1" applyAlignment="1">
      <alignment horizontal="center" vertical="top" wrapText="1"/>
    </xf>
    <xf numFmtId="164" fontId="3" fillId="0" borderId="21" xfId="0" applyNumberFormat="1" applyFont="1" applyBorder="1" applyAlignment="1">
      <alignment horizontal="center" vertical="top"/>
    </xf>
    <xf numFmtId="164" fontId="3" fillId="0" borderId="18" xfId="0" applyNumberFormat="1" applyFont="1" applyBorder="1" applyAlignment="1">
      <alignment horizontal="center" vertical="top"/>
    </xf>
    <xf numFmtId="164" fontId="3" fillId="0" borderId="20" xfId="0" applyNumberFormat="1" applyFont="1" applyBorder="1" applyAlignment="1">
      <alignment horizontal="center" vertical="top"/>
    </xf>
    <xf numFmtId="164" fontId="3" fillId="0" borderId="22" xfId="0" applyNumberFormat="1" applyFont="1" applyFill="1" applyBorder="1" applyAlignment="1">
      <alignment horizontal="center" vertical="top"/>
    </xf>
    <xf numFmtId="0" fontId="3" fillId="0" borderId="23" xfId="0" applyFont="1" applyFill="1" applyBorder="1" applyAlignment="1">
      <alignment horizontal="center" vertical="top" wrapText="1"/>
    </xf>
    <xf numFmtId="164" fontId="3" fillId="0" borderId="10" xfId="0" applyNumberFormat="1" applyFont="1" applyFill="1" applyBorder="1" applyAlignment="1">
      <alignment horizontal="center" vertical="top"/>
    </xf>
    <xf numFmtId="164" fontId="3" fillId="0" borderId="5" xfId="0" applyNumberFormat="1" applyFont="1" applyBorder="1" applyAlignment="1">
      <alignment horizontal="center" vertical="top"/>
    </xf>
    <xf numFmtId="164" fontId="6" fillId="0" borderId="2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26" xfId="0" applyNumberFormat="1" applyFont="1" applyFill="1" applyBorder="1" applyAlignment="1">
      <alignment horizontal="center" vertical="top"/>
    </xf>
    <xf numFmtId="164" fontId="3" fillId="0" borderId="27" xfId="0" applyNumberFormat="1" applyFont="1" applyBorder="1" applyAlignment="1">
      <alignment horizontal="center" vertical="top"/>
    </xf>
    <xf numFmtId="164" fontId="3" fillId="0" borderId="27" xfId="0" applyNumberFormat="1" applyFont="1" applyFill="1" applyBorder="1" applyAlignment="1">
      <alignment horizontal="center" vertical="top"/>
    </xf>
    <xf numFmtId="0" fontId="3" fillId="0" borderId="10" xfId="0" applyFont="1" applyFill="1" applyBorder="1" applyAlignment="1">
      <alignment horizontal="center" vertical="top"/>
    </xf>
    <xf numFmtId="164" fontId="6" fillId="0" borderId="28" xfId="0" applyNumberFormat="1" applyFont="1" applyFill="1" applyBorder="1" applyAlignment="1">
      <alignment horizontal="center" vertical="top"/>
    </xf>
    <xf numFmtId="164" fontId="6" fillId="0" borderId="13"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3" fillId="0" borderId="4" xfId="0" applyNumberFormat="1" applyFont="1" applyFill="1" applyBorder="1" applyAlignment="1">
      <alignment horizontal="center" vertical="top"/>
    </xf>
    <xf numFmtId="0" fontId="3" fillId="0" borderId="29" xfId="0" applyFont="1" applyFill="1" applyBorder="1" applyAlignment="1">
      <alignment horizontal="center" vertical="top" wrapText="1"/>
    </xf>
    <xf numFmtId="164" fontId="4" fillId="3" borderId="30" xfId="0" applyNumberFormat="1" applyFont="1" applyFill="1" applyBorder="1" applyAlignment="1">
      <alignment horizontal="center" vertical="top"/>
    </xf>
    <xf numFmtId="164" fontId="3" fillId="0" borderId="31" xfId="0" applyNumberFormat="1" applyFont="1" applyFill="1" applyBorder="1" applyAlignment="1">
      <alignment horizontal="center" vertical="top"/>
    </xf>
    <xf numFmtId="164" fontId="3" fillId="0" borderId="32" xfId="0" applyNumberFormat="1" applyFont="1" applyFill="1" applyBorder="1" applyAlignment="1">
      <alignment horizontal="center" vertical="top"/>
    </xf>
    <xf numFmtId="164" fontId="3" fillId="0" borderId="33" xfId="0" applyNumberFormat="1" applyFont="1" applyBorder="1" applyAlignment="1">
      <alignment horizontal="center" vertical="top"/>
    </xf>
    <xf numFmtId="164" fontId="3" fillId="2" borderId="34"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xf>
    <xf numFmtId="164" fontId="3" fillId="0" borderId="17" xfId="0" applyNumberFormat="1" applyFont="1" applyFill="1" applyBorder="1" applyAlignment="1">
      <alignment horizontal="center" vertical="top" wrapText="1"/>
    </xf>
    <xf numFmtId="164" fontId="4" fillId="3" borderId="35" xfId="0" applyNumberFormat="1" applyFont="1" applyFill="1" applyBorder="1" applyAlignment="1">
      <alignment horizontal="center" vertical="top"/>
    </xf>
    <xf numFmtId="164" fontId="3" fillId="0" borderId="34" xfId="0" applyNumberFormat="1" applyFont="1" applyBorder="1" applyAlignment="1">
      <alignment horizontal="center" vertical="top"/>
    </xf>
    <xf numFmtId="164" fontId="3" fillId="0" borderId="36" xfId="0" applyNumberFormat="1" applyFont="1" applyBorder="1" applyAlignment="1">
      <alignment horizontal="center" vertical="top"/>
    </xf>
    <xf numFmtId="0" fontId="3" fillId="0" borderId="0" xfId="0" applyFont="1" applyFill="1" applyBorder="1" applyAlignment="1">
      <alignment vertical="top"/>
    </xf>
    <xf numFmtId="164" fontId="3" fillId="0" borderId="0"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6" fillId="0" borderId="12" xfId="0" applyNumberFormat="1" applyFont="1" applyFill="1" applyBorder="1" applyAlignment="1">
      <alignment horizontal="center" vertical="top"/>
    </xf>
    <xf numFmtId="164" fontId="3" fillId="0" borderId="37" xfId="0" applyNumberFormat="1" applyFont="1" applyFill="1" applyBorder="1" applyAlignment="1">
      <alignment horizontal="center" vertical="top"/>
    </xf>
    <xf numFmtId="0" fontId="5" fillId="0" borderId="0" xfId="0" applyFont="1" applyBorder="1"/>
    <xf numFmtId="0" fontId="3" fillId="0" borderId="0" xfId="0" applyFont="1" applyAlignment="1">
      <alignment vertical="top"/>
    </xf>
    <xf numFmtId="164" fontId="3" fillId="0" borderId="0" xfId="0" applyNumberFormat="1" applyFont="1" applyAlignment="1">
      <alignment vertical="top"/>
    </xf>
    <xf numFmtId="0" fontId="3" fillId="0" borderId="0" xfId="0" applyFont="1" applyFill="1" applyAlignment="1">
      <alignment vertical="top"/>
    </xf>
    <xf numFmtId="164" fontId="3" fillId="0" borderId="29" xfId="0" applyNumberFormat="1" applyFont="1" applyFill="1" applyBorder="1" applyAlignment="1">
      <alignment horizontal="center" vertical="top"/>
    </xf>
    <xf numFmtId="164" fontId="4" fillId="3" borderId="38" xfId="0" applyNumberFormat="1" applyFont="1" applyFill="1" applyBorder="1" applyAlignment="1">
      <alignment horizontal="center" vertical="top"/>
    </xf>
    <xf numFmtId="0" fontId="3" fillId="0" borderId="0" xfId="0" applyFont="1" applyBorder="1" applyAlignment="1">
      <alignment horizontal="center" vertical="top"/>
    </xf>
    <xf numFmtId="0" fontId="3" fillId="0" borderId="11" xfId="0" applyFont="1" applyFill="1" applyBorder="1" applyAlignment="1">
      <alignment horizontal="center" vertical="top" wrapText="1"/>
    </xf>
    <xf numFmtId="164" fontId="4" fillId="3" borderId="39" xfId="0" applyNumberFormat="1" applyFont="1" applyFill="1" applyBorder="1" applyAlignment="1">
      <alignment horizontal="center" vertical="top"/>
    </xf>
    <xf numFmtId="164" fontId="4" fillId="3" borderId="40" xfId="0" applyNumberFormat="1" applyFont="1" applyFill="1" applyBorder="1" applyAlignment="1">
      <alignment horizontal="center" vertical="top"/>
    </xf>
    <xf numFmtId="164" fontId="6" fillId="0" borderId="34" xfId="0" applyNumberFormat="1" applyFont="1" applyBorder="1" applyAlignment="1">
      <alignment horizontal="center" vertical="top" wrapText="1"/>
    </xf>
    <xf numFmtId="0" fontId="3" fillId="0" borderId="34" xfId="0" applyFont="1" applyBorder="1" applyAlignment="1">
      <alignment horizontal="center" vertical="top"/>
    </xf>
    <xf numFmtId="164" fontId="3" fillId="0" borderId="42" xfId="0" applyNumberFormat="1" applyFont="1" applyFill="1" applyBorder="1" applyAlignment="1">
      <alignment horizontal="center" vertical="top"/>
    </xf>
    <xf numFmtId="164" fontId="3" fillId="0" borderId="43" xfId="0" applyNumberFormat="1" applyFont="1" applyBorder="1" applyAlignment="1">
      <alignment horizontal="center" vertical="top"/>
    </xf>
    <xf numFmtId="0" fontId="3" fillId="0" borderId="44" xfId="0" applyFont="1" applyBorder="1" applyAlignment="1">
      <alignment horizontal="center" vertical="top"/>
    </xf>
    <xf numFmtId="0" fontId="3" fillId="0" borderId="45" xfId="0" applyFont="1" applyBorder="1" applyAlignment="1">
      <alignment horizontal="center" vertical="top"/>
    </xf>
    <xf numFmtId="164" fontId="3" fillId="0" borderId="45" xfId="0" applyNumberFormat="1" applyFont="1" applyFill="1" applyBorder="1" applyAlignment="1">
      <alignment horizontal="center" vertical="top"/>
    </xf>
    <xf numFmtId="0" fontId="3" fillId="0" borderId="17" xfId="0" applyFont="1" applyFill="1" applyBorder="1" applyAlignment="1">
      <alignment horizontal="center" vertical="top"/>
    </xf>
    <xf numFmtId="0" fontId="3" fillId="0" borderId="0" xfId="0" applyFont="1" applyAlignment="1">
      <alignment horizontal="center" vertical="top"/>
    </xf>
    <xf numFmtId="164" fontId="6" fillId="0" borderId="12" xfId="0" applyNumberFormat="1" applyFont="1" applyBorder="1" applyAlignment="1">
      <alignment horizontal="center" vertical="top"/>
    </xf>
    <xf numFmtId="0" fontId="6" fillId="0" borderId="11" xfId="0" applyFont="1" applyBorder="1" applyAlignment="1">
      <alignment horizontal="center" vertical="top"/>
    </xf>
    <xf numFmtId="164" fontId="3" fillId="0" borderId="19" xfId="0" applyNumberFormat="1" applyFont="1" applyBorder="1" applyAlignment="1">
      <alignment horizontal="center" vertical="top"/>
    </xf>
    <xf numFmtId="0" fontId="6" fillId="0" borderId="46" xfId="0" applyFont="1" applyFill="1" applyBorder="1" applyAlignment="1">
      <alignment horizontal="center" vertical="top"/>
    </xf>
    <xf numFmtId="0" fontId="6" fillId="0" borderId="10" xfId="0" applyFont="1" applyBorder="1" applyAlignment="1">
      <alignment horizontal="center" vertical="top"/>
    </xf>
    <xf numFmtId="0" fontId="6" fillId="0" borderId="5" xfId="0" applyFont="1" applyBorder="1" applyAlignment="1">
      <alignment horizontal="center" vertical="top"/>
    </xf>
    <xf numFmtId="0" fontId="3" fillId="0" borderId="47" xfId="0" applyFont="1" applyBorder="1" applyAlignment="1">
      <alignment vertical="center" textRotation="90" wrapText="1"/>
    </xf>
    <xf numFmtId="0" fontId="3" fillId="0" borderId="47" xfId="0" applyFont="1" applyFill="1" applyBorder="1" applyAlignment="1">
      <alignment horizontal="center" vertical="center" textRotation="90" wrapText="1"/>
    </xf>
    <xf numFmtId="0" fontId="3" fillId="0" borderId="47" xfId="0" applyFont="1" applyBorder="1" applyAlignment="1">
      <alignment horizontal="center" vertical="center" textRotation="90" wrapText="1"/>
    </xf>
    <xf numFmtId="164" fontId="6" fillId="2" borderId="34" xfId="0" applyNumberFormat="1" applyFont="1" applyFill="1" applyBorder="1" applyAlignment="1">
      <alignment horizontal="center" vertical="top" wrapText="1"/>
    </xf>
    <xf numFmtId="164" fontId="3" fillId="0" borderId="0" xfId="0" applyNumberFormat="1" applyFont="1" applyFill="1" applyBorder="1" applyAlignment="1">
      <alignment vertical="top" wrapText="1"/>
    </xf>
    <xf numFmtId="164" fontId="3" fillId="0" borderId="33" xfId="0" applyNumberFormat="1" applyFont="1" applyFill="1" applyBorder="1" applyAlignment="1">
      <alignment horizontal="center" vertical="top"/>
    </xf>
    <xf numFmtId="164" fontId="3" fillId="0" borderId="24" xfId="0" applyNumberFormat="1" applyFont="1" applyFill="1" applyBorder="1" applyAlignment="1">
      <alignment horizontal="center" vertical="top"/>
    </xf>
    <xf numFmtId="164" fontId="3" fillId="0" borderId="25" xfId="0" applyNumberFormat="1" applyFont="1" applyFill="1" applyBorder="1" applyAlignment="1">
      <alignment horizontal="center" vertical="top"/>
    </xf>
    <xf numFmtId="164" fontId="6" fillId="0" borderId="10" xfId="0" applyNumberFormat="1" applyFont="1" applyBorder="1" applyAlignment="1">
      <alignment horizontal="center" vertical="top"/>
    </xf>
    <xf numFmtId="164" fontId="3" fillId="0" borderId="44" xfId="0" applyNumberFormat="1" applyFont="1" applyFill="1" applyBorder="1" applyAlignment="1">
      <alignment horizontal="center" vertical="top"/>
    </xf>
    <xf numFmtId="164" fontId="3" fillId="0" borderId="49"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6" fillId="0" borderId="36" xfId="0" applyNumberFormat="1" applyFont="1" applyBorder="1" applyAlignment="1">
      <alignment horizontal="center" vertical="top" wrapText="1"/>
    </xf>
    <xf numFmtId="164" fontId="3" fillId="0" borderId="9" xfId="0" applyNumberFormat="1" applyFont="1" applyFill="1" applyBorder="1" applyAlignment="1">
      <alignment horizontal="center" vertical="top"/>
    </xf>
    <xf numFmtId="164" fontId="6" fillId="0" borderId="5" xfId="0" applyNumberFormat="1" applyFont="1" applyBorder="1" applyAlignment="1">
      <alignment horizontal="center" vertical="top"/>
    </xf>
    <xf numFmtId="0" fontId="6" fillId="0" borderId="11" xfId="0" applyFont="1" applyFill="1" applyBorder="1" applyAlignment="1">
      <alignment horizontal="center" vertical="top" wrapText="1"/>
    </xf>
    <xf numFmtId="164" fontId="6" fillId="0" borderId="36" xfId="0" applyNumberFormat="1" applyFont="1" applyBorder="1" applyAlignment="1">
      <alignment horizontal="center" vertical="top"/>
    </xf>
    <xf numFmtId="164" fontId="6" fillId="0" borderId="11" xfId="0" applyNumberFormat="1" applyFont="1" applyBorder="1" applyAlignment="1">
      <alignment horizontal="center" vertical="top"/>
    </xf>
    <xf numFmtId="164" fontId="3" fillId="0" borderId="45" xfId="0" applyNumberFormat="1" applyFont="1" applyBorder="1" applyAlignment="1">
      <alignment horizontal="center" vertical="top"/>
    </xf>
    <xf numFmtId="164" fontId="6" fillId="0" borderId="6" xfId="0" applyNumberFormat="1" applyFont="1" applyFill="1" applyBorder="1" applyAlignment="1">
      <alignment horizontal="center" vertical="top"/>
    </xf>
    <xf numFmtId="164" fontId="6" fillId="0" borderId="22" xfId="0" applyNumberFormat="1"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3" xfId="0" applyNumberFormat="1" applyFont="1" applyFill="1" applyBorder="1" applyAlignment="1">
      <alignment horizontal="center" vertical="top"/>
    </xf>
    <xf numFmtId="0" fontId="6" fillId="0" borderId="54" xfId="0" applyFont="1" applyBorder="1" applyAlignment="1">
      <alignment horizontal="center" vertical="top" wrapText="1"/>
    </xf>
    <xf numFmtId="164" fontId="6" fillId="2" borderId="5" xfId="0" applyNumberFormat="1" applyFont="1" applyFill="1" applyBorder="1" applyAlignment="1">
      <alignment horizontal="center" vertical="top" wrapText="1"/>
    </xf>
    <xf numFmtId="164" fontId="6" fillId="0" borderId="55" xfId="0" applyNumberFormat="1"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0" xfId="0" applyNumberFormat="1" applyFont="1" applyBorder="1" applyAlignment="1">
      <alignment horizontal="center" vertical="top" wrapText="1"/>
    </xf>
    <xf numFmtId="164" fontId="6" fillId="2" borderId="17" xfId="0" applyNumberFormat="1" applyFont="1" applyFill="1" applyBorder="1" applyAlignment="1">
      <alignment horizontal="center" vertical="top" wrapText="1"/>
    </xf>
    <xf numFmtId="164" fontId="6" fillId="0" borderId="44" xfId="0" applyNumberFormat="1" applyFont="1" applyFill="1" applyBorder="1" applyAlignment="1">
      <alignment horizontal="center" vertical="top"/>
    </xf>
    <xf numFmtId="164" fontId="6" fillId="0" borderId="49" xfId="0" applyNumberFormat="1" applyFont="1" applyFill="1" applyBorder="1" applyAlignment="1">
      <alignment horizontal="center" vertical="top"/>
    </xf>
    <xf numFmtId="164" fontId="6" fillId="0" borderId="29"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0" borderId="27"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164" fontId="6" fillId="2" borderId="0" xfId="0" applyNumberFormat="1" applyFont="1" applyFill="1" applyBorder="1" applyAlignment="1">
      <alignment horizontal="center" vertical="top" wrapText="1"/>
    </xf>
    <xf numFmtId="164" fontId="6" fillId="0" borderId="9" xfId="0" applyNumberFormat="1" applyFont="1" applyFill="1" applyBorder="1" applyAlignment="1">
      <alignment horizontal="center" vertical="top"/>
    </xf>
    <xf numFmtId="0" fontId="6" fillId="0" borderId="17" xfId="0" applyFont="1" applyFill="1" applyBorder="1" applyAlignment="1">
      <alignment horizontal="center" vertical="top" wrapText="1"/>
    </xf>
    <xf numFmtId="164" fontId="6" fillId="0" borderId="18" xfId="0" applyNumberFormat="1" applyFont="1" applyFill="1" applyBorder="1" applyAlignment="1">
      <alignment horizontal="center" vertical="top"/>
    </xf>
    <xf numFmtId="0" fontId="6" fillId="0" borderId="10" xfId="0" applyFont="1" applyFill="1" applyBorder="1" applyAlignment="1">
      <alignment horizontal="center" vertical="top" wrapText="1"/>
    </xf>
    <xf numFmtId="164" fontId="6" fillId="0" borderId="33"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0" borderId="32" xfId="0" applyNumberFormat="1" applyFont="1" applyFill="1" applyBorder="1" applyAlignment="1">
      <alignment horizontal="center" vertical="top"/>
    </xf>
    <xf numFmtId="164" fontId="6" fillId="0" borderId="33" xfId="0" applyNumberFormat="1" applyFont="1" applyBorder="1" applyAlignment="1">
      <alignment horizontal="center" vertical="top"/>
    </xf>
    <xf numFmtId="164" fontId="6" fillId="0" borderId="31" xfId="0" applyNumberFormat="1" applyFont="1" applyBorder="1" applyAlignment="1">
      <alignment horizontal="center" vertical="top"/>
    </xf>
    <xf numFmtId="164" fontId="3" fillId="0" borderId="4" xfId="0" applyNumberFormat="1" applyFont="1" applyBorder="1" applyAlignment="1">
      <alignment horizontal="center" vertical="top"/>
    </xf>
    <xf numFmtId="164" fontId="6" fillId="0" borderId="13" xfId="0" applyNumberFormat="1" applyFont="1" applyBorder="1" applyAlignment="1">
      <alignment horizontal="center" vertical="top"/>
    </xf>
    <xf numFmtId="164" fontId="3" fillId="0" borderId="57" xfId="0" applyNumberFormat="1" applyFont="1" applyBorder="1" applyAlignment="1">
      <alignment horizontal="center" vertical="top"/>
    </xf>
    <xf numFmtId="164" fontId="3" fillId="0" borderId="11" xfId="0" applyNumberFormat="1" applyFont="1" applyBorder="1" applyAlignment="1">
      <alignment horizontal="center" vertical="top"/>
    </xf>
    <xf numFmtId="0" fontId="5" fillId="0" borderId="32" xfId="0" applyFont="1" applyBorder="1" applyAlignment="1">
      <alignment vertical="top" wrapText="1"/>
    </xf>
    <xf numFmtId="164" fontId="6" fillId="0" borderId="20" xfId="0" applyNumberFormat="1" applyFont="1" applyBorder="1" applyAlignment="1">
      <alignment horizontal="center" vertical="top"/>
    </xf>
    <xf numFmtId="0" fontId="3" fillId="0" borderId="11" xfId="0" applyFont="1" applyFill="1" applyBorder="1" applyAlignment="1">
      <alignment horizontal="center" vertical="top"/>
    </xf>
    <xf numFmtId="0" fontId="3" fillId="0" borderId="44" xfId="0" applyFont="1" applyFill="1" applyBorder="1" applyAlignment="1">
      <alignment horizontal="center" vertical="top" wrapText="1"/>
    </xf>
    <xf numFmtId="0" fontId="3" fillId="0" borderId="36" xfId="0" applyFont="1" applyBorder="1" applyAlignment="1">
      <alignment horizontal="center" vertical="top" wrapText="1"/>
    </xf>
    <xf numFmtId="0" fontId="3" fillId="0" borderId="58" xfId="0" applyFont="1" applyBorder="1" applyAlignment="1">
      <alignment horizontal="center" vertical="top" wrapText="1"/>
    </xf>
    <xf numFmtId="164" fontId="3" fillId="0" borderId="36" xfId="0" applyNumberFormat="1" applyFont="1" applyBorder="1" applyAlignment="1">
      <alignment horizontal="center" vertical="top" wrapText="1"/>
    </xf>
    <xf numFmtId="164" fontId="3" fillId="0" borderId="58" xfId="0" applyNumberFormat="1" applyFont="1" applyBorder="1" applyAlignment="1">
      <alignment horizontal="center" vertical="top" wrapText="1"/>
    </xf>
    <xf numFmtId="0" fontId="3" fillId="0" borderId="0" xfId="0" applyFont="1" applyBorder="1" applyAlignment="1">
      <alignment horizontal="center" vertical="top" wrapText="1"/>
    </xf>
    <xf numFmtId="0" fontId="6" fillId="0" borderId="17" xfId="0" applyFont="1" applyFill="1" applyBorder="1" applyAlignment="1">
      <alignment horizontal="center" vertical="top"/>
    </xf>
    <xf numFmtId="164" fontId="3" fillId="0" borderId="48" xfId="0" applyNumberFormat="1" applyFont="1" applyFill="1" applyBorder="1" applyAlignment="1">
      <alignment horizontal="center" vertical="top"/>
    </xf>
    <xf numFmtId="164" fontId="3" fillId="2" borderId="31" xfId="0" applyNumberFormat="1" applyFont="1" applyFill="1" applyBorder="1" applyAlignment="1">
      <alignment horizontal="center" vertical="top" wrapText="1"/>
    </xf>
    <xf numFmtId="0" fontId="5" fillId="0" borderId="31" xfId="0" applyFont="1" applyBorder="1" applyAlignment="1">
      <alignment vertical="top" wrapText="1"/>
    </xf>
    <xf numFmtId="164" fontId="6" fillId="0" borderId="17" xfId="0" applyNumberFormat="1" applyFont="1" applyFill="1" applyBorder="1" applyAlignment="1">
      <alignment horizontal="center" vertical="top"/>
    </xf>
    <xf numFmtId="164" fontId="3" fillId="0" borderId="23" xfId="0" applyNumberFormat="1" applyFont="1" applyFill="1" applyBorder="1" applyAlignment="1">
      <alignment horizontal="center" vertical="top"/>
    </xf>
    <xf numFmtId="0" fontId="6" fillId="0" borderId="42" xfId="0" applyFont="1" applyFill="1" applyBorder="1" applyAlignment="1">
      <alignment horizontal="center" vertical="top" wrapText="1"/>
    </xf>
    <xf numFmtId="164" fontId="6" fillId="0" borderId="23" xfId="0" applyNumberFormat="1" applyFont="1" applyBorder="1" applyAlignment="1">
      <alignment horizontal="center" vertical="top"/>
    </xf>
    <xf numFmtId="165" fontId="6" fillId="0" borderId="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48" xfId="0" applyNumberFormat="1" applyFont="1" applyFill="1" applyBorder="1" applyAlignment="1">
      <alignment horizontal="center" vertical="top"/>
    </xf>
    <xf numFmtId="164" fontId="3" fillId="0" borderId="53" xfId="0" applyNumberFormat="1" applyFont="1" applyBorder="1" applyAlignment="1">
      <alignment horizontal="center" vertical="top"/>
    </xf>
    <xf numFmtId="164" fontId="3" fillId="2" borderId="57" xfId="0" applyNumberFormat="1" applyFont="1" applyFill="1" applyBorder="1" applyAlignment="1">
      <alignment horizontal="center" vertical="top" wrapText="1"/>
    </xf>
    <xf numFmtId="164" fontId="3" fillId="0" borderId="28" xfId="0" applyNumberFormat="1" applyFont="1" applyFill="1" applyBorder="1" applyAlignment="1">
      <alignment horizontal="center" vertical="top"/>
    </xf>
    <xf numFmtId="0" fontId="6" fillId="0" borderId="34" xfId="0" applyFont="1" applyFill="1" applyBorder="1" applyAlignment="1">
      <alignment horizontal="center" vertical="top" wrapText="1"/>
    </xf>
    <xf numFmtId="164" fontId="6" fillId="0" borderId="32" xfId="0" applyNumberFormat="1" applyFont="1" applyBorder="1" applyAlignment="1">
      <alignment horizontal="center" vertical="top"/>
    </xf>
    <xf numFmtId="0" fontId="6" fillId="0" borderId="17" xfId="0" applyFont="1" applyBorder="1" applyAlignment="1">
      <alignment horizontal="center" vertical="top"/>
    </xf>
    <xf numFmtId="164" fontId="6" fillId="0" borderId="0" xfId="0" applyNumberFormat="1" applyFont="1" applyBorder="1" applyAlignment="1">
      <alignment horizontal="center" vertical="top"/>
    </xf>
    <xf numFmtId="164" fontId="6" fillId="0" borderId="45" xfId="0" applyNumberFormat="1" applyFont="1" applyFill="1" applyBorder="1" applyAlignment="1">
      <alignment horizontal="center" vertical="top"/>
    </xf>
    <xf numFmtId="49" fontId="4" fillId="4" borderId="33" xfId="0" applyNumberFormat="1" applyFont="1" applyFill="1" applyBorder="1" applyAlignment="1">
      <alignment horizontal="center" vertical="top"/>
    </xf>
    <xf numFmtId="49" fontId="4" fillId="3" borderId="40" xfId="0" applyNumberFormat="1" applyFont="1" applyFill="1" applyBorder="1" applyAlignment="1">
      <alignment horizontal="center" vertical="top"/>
    </xf>
    <xf numFmtId="49" fontId="7" fillId="3" borderId="31"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4" borderId="29" xfId="0" applyNumberFormat="1" applyFont="1" applyFill="1" applyBorder="1" applyAlignment="1">
      <alignment horizontal="center" vertical="top"/>
    </xf>
    <xf numFmtId="49" fontId="6" fillId="4" borderId="59" xfId="0" applyNumberFormat="1" applyFont="1" applyFill="1" applyBorder="1" applyAlignment="1">
      <alignment horizontal="center" vertical="top"/>
    </xf>
    <xf numFmtId="0" fontId="6" fillId="0" borderId="0" xfId="0" applyFont="1" applyBorder="1" applyAlignment="1">
      <alignment vertical="top"/>
    </xf>
    <xf numFmtId="49" fontId="6" fillId="4" borderId="29" xfId="0" applyNumberFormat="1" applyFont="1" applyFill="1" applyBorder="1" applyAlignment="1">
      <alignment horizontal="center" vertical="top"/>
    </xf>
    <xf numFmtId="49" fontId="4" fillId="3" borderId="31" xfId="0" applyNumberFormat="1" applyFont="1" applyFill="1" applyBorder="1" applyAlignment="1">
      <alignment horizontal="center" vertical="top"/>
    </xf>
    <xf numFmtId="49" fontId="4" fillId="4" borderId="18" xfId="0" applyNumberFormat="1" applyFont="1" applyFill="1" applyBorder="1" applyAlignment="1">
      <alignment horizontal="center" vertical="top"/>
    </xf>
    <xf numFmtId="49" fontId="4" fillId="3" borderId="20" xfId="0" applyNumberFormat="1" applyFont="1" applyFill="1" applyBorder="1" applyAlignment="1">
      <alignment horizontal="center" vertical="top"/>
    </xf>
    <xf numFmtId="49" fontId="4" fillId="4" borderId="30" xfId="0" applyNumberFormat="1" applyFont="1" applyFill="1" applyBorder="1" applyAlignment="1">
      <alignment horizontal="center" vertical="top"/>
    </xf>
    <xf numFmtId="49" fontId="7" fillId="4" borderId="15" xfId="0" applyNumberFormat="1" applyFont="1" applyFill="1" applyBorder="1" applyAlignment="1">
      <alignment vertical="center"/>
    </xf>
    <xf numFmtId="49" fontId="7" fillId="3" borderId="40" xfId="0" applyNumberFormat="1" applyFont="1" applyFill="1" applyBorder="1" applyAlignment="1">
      <alignment horizontal="center" vertical="top"/>
    </xf>
    <xf numFmtId="49" fontId="7" fillId="3" borderId="31" xfId="0" applyNumberFormat="1" applyFont="1" applyFill="1" applyBorder="1" applyAlignment="1">
      <alignment vertical="top"/>
    </xf>
    <xf numFmtId="49" fontId="4" fillId="3" borderId="63" xfId="0" applyNumberFormat="1" applyFont="1" applyFill="1" applyBorder="1" applyAlignment="1">
      <alignment horizontal="center" vertical="top"/>
    </xf>
    <xf numFmtId="49" fontId="4" fillId="2" borderId="32" xfId="0" applyNumberFormat="1" applyFont="1" applyFill="1" applyBorder="1" applyAlignment="1">
      <alignment horizontal="center" vertical="top"/>
    </xf>
    <xf numFmtId="49" fontId="4" fillId="2" borderId="61" xfId="0" applyNumberFormat="1" applyFont="1" applyFill="1" applyBorder="1" applyAlignment="1">
      <alignment horizontal="center" vertical="top"/>
    </xf>
    <xf numFmtId="0" fontId="3" fillId="0" borderId="0" xfId="0" applyNumberFormat="1" applyFont="1" applyBorder="1" applyAlignment="1">
      <alignment vertical="top"/>
    </xf>
    <xf numFmtId="164" fontId="3" fillId="0" borderId="0" xfId="0" applyNumberFormat="1" applyFont="1" applyBorder="1" applyAlignment="1">
      <alignment vertical="top"/>
    </xf>
    <xf numFmtId="0" fontId="3" fillId="0" borderId="0" xfId="0" applyNumberFormat="1" applyFont="1" applyAlignment="1">
      <alignment vertical="top"/>
    </xf>
    <xf numFmtId="164" fontId="6" fillId="0" borderId="10" xfId="0" applyNumberFormat="1" applyFont="1" applyBorder="1" applyAlignment="1">
      <alignment horizontal="center" vertical="top" wrapText="1"/>
    </xf>
    <xf numFmtId="0" fontId="6" fillId="0" borderId="23" xfId="0" applyFont="1" applyFill="1" applyBorder="1" applyAlignment="1">
      <alignment horizontal="left" vertical="top"/>
    </xf>
    <xf numFmtId="164" fontId="6" fillId="0" borderId="42" xfId="0" applyNumberFormat="1" applyFont="1" applyFill="1" applyBorder="1" applyAlignment="1">
      <alignment horizontal="center" vertical="top"/>
    </xf>
    <xf numFmtId="164" fontId="4" fillId="4" borderId="15" xfId="0" applyNumberFormat="1" applyFont="1" applyFill="1" applyBorder="1" applyAlignment="1">
      <alignment horizontal="center" vertical="top"/>
    </xf>
    <xf numFmtId="0" fontId="6" fillId="0" borderId="54" xfId="0" applyFont="1" applyBorder="1" applyAlignment="1">
      <alignment horizontal="center" vertical="top"/>
    </xf>
    <xf numFmtId="164" fontId="6" fillId="0" borderId="58" xfId="0" applyNumberFormat="1" applyFont="1" applyFill="1" applyBorder="1" applyAlignment="1">
      <alignment horizontal="center" vertical="top"/>
    </xf>
    <xf numFmtId="164" fontId="4" fillId="0" borderId="0" xfId="0" applyNumberFormat="1" applyFont="1" applyFill="1" applyBorder="1" applyAlignment="1">
      <alignment vertical="center" wrapText="1"/>
    </xf>
    <xf numFmtId="164" fontId="4" fillId="0" borderId="0" xfId="0" applyNumberFormat="1" applyFont="1" applyFill="1" applyBorder="1" applyAlignment="1">
      <alignment vertical="top" wrapText="1"/>
    </xf>
    <xf numFmtId="164" fontId="3" fillId="0" borderId="0" xfId="0" applyNumberFormat="1" applyFont="1" applyFill="1" applyAlignment="1">
      <alignment vertical="top"/>
    </xf>
    <xf numFmtId="164" fontId="6" fillId="0" borderId="45" xfId="0" applyNumberFormat="1" applyFont="1" applyBorder="1" applyAlignment="1">
      <alignment horizontal="center" vertical="top"/>
    </xf>
    <xf numFmtId="164" fontId="6" fillId="0" borderId="29" xfId="0" applyNumberFormat="1" applyFont="1" applyBorder="1" applyAlignment="1">
      <alignment horizontal="center" vertical="top"/>
    </xf>
    <xf numFmtId="0" fontId="6" fillId="0" borderId="65" xfId="0" applyFont="1" applyFill="1" applyBorder="1" applyAlignment="1">
      <alignment horizontal="center" vertical="top"/>
    </xf>
    <xf numFmtId="0" fontId="3" fillId="0" borderId="36" xfId="0" applyFont="1" applyFill="1" applyBorder="1" applyAlignment="1">
      <alignment horizontal="center" vertical="top"/>
    </xf>
    <xf numFmtId="49" fontId="4" fillId="4" borderId="33" xfId="0" applyNumberFormat="1" applyFont="1" applyFill="1" applyBorder="1" applyAlignment="1">
      <alignment vertical="top"/>
    </xf>
    <xf numFmtId="49" fontId="4" fillId="3" borderId="31" xfId="0" applyNumberFormat="1" applyFont="1" applyFill="1" applyBorder="1" applyAlignment="1">
      <alignment vertical="top"/>
    </xf>
    <xf numFmtId="49" fontId="4" fillId="0" borderId="32" xfId="0" applyNumberFormat="1" applyFont="1" applyBorder="1" applyAlignment="1">
      <alignment vertical="top"/>
    </xf>
    <xf numFmtId="49" fontId="4" fillId="4" borderId="18" xfId="0" applyNumberFormat="1" applyFont="1" applyFill="1" applyBorder="1" applyAlignment="1">
      <alignment vertical="top"/>
    </xf>
    <xf numFmtId="49" fontId="4" fillId="3" borderId="20" xfId="0" applyNumberFormat="1" applyFont="1" applyFill="1" applyBorder="1" applyAlignment="1">
      <alignment vertical="top"/>
    </xf>
    <xf numFmtId="49" fontId="4" fillId="0" borderId="27" xfId="0" applyNumberFormat="1" applyFont="1" applyBorder="1" applyAlignment="1">
      <alignment vertical="top"/>
    </xf>
    <xf numFmtId="49" fontId="4" fillId="4" borderId="62" xfId="0" applyNumberFormat="1" applyFont="1" applyFill="1" applyBorder="1" applyAlignment="1">
      <alignment vertical="top"/>
    </xf>
    <xf numFmtId="49" fontId="4" fillId="3" borderId="60" xfId="0" applyNumberFormat="1" applyFont="1" applyFill="1" applyBorder="1" applyAlignment="1">
      <alignment vertical="top"/>
    </xf>
    <xf numFmtId="49" fontId="4" fillId="0" borderId="61" xfId="0" applyNumberFormat="1" applyFont="1" applyBorder="1" applyAlignment="1">
      <alignment vertical="top"/>
    </xf>
    <xf numFmtId="0" fontId="6" fillId="0" borderId="51" xfId="0" applyFont="1" applyFill="1" applyBorder="1" applyAlignment="1">
      <alignment vertical="top" wrapText="1"/>
    </xf>
    <xf numFmtId="0" fontId="5" fillId="0" borderId="57" xfId="0" applyFont="1" applyBorder="1" applyAlignment="1">
      <alignment vertical="top" wrapText="1"/>
    </xf>
    <xf numFmtId="0" fontId="3" fillId="0" borderId="66" xfId="0" applyFont="1" applyBorder="1" applyAlignment="1">
      <alignment horizontal="center" vertical="top"/>
    </xf>
    <xf numFmtId="164" fontId="3" fillId="0" borderId="5" xfId="0" applyNumberFormat="1" applyFont="1" applyBorder="1" applyAlignment="1">
      <alignment horizontal="center" vertical="top" wrapText="1"/>
    </xf>
    <xf numFmtId="0" fontId="6" fillId="0" borderId="36" xfId="0" applyFont="1" applyBorder="1" applyAlignment="1">
      <alignment horizontal="center" vertical="top"/>
    </xf>
    <xf numFmtId="164" fontId="6" fillId="0" borderId="6" xfId="0" applyNumberFormat="1" applyFont="1" applyBorder="1" applyAlignment="1">
      <alignment horizontal="center" vertical="top"/>
    </xf>
    <xf numFmtId="164" fontId="6" fillId="0" borderId="22" xfId="0" applyNumberFormat="1" applyFont="1" applyBorder="1" applyAlignment="1">
      <alignment horizontal="center" vertical="top"/>
    </xf>
    <xf numFmtId="164" fontId="6" fillId="0" borderId="1" xfId="0" applyNumberFormat="1" applyFont="1" applyBorder="1" applyAlignment="1">
      <alignment horizontal="center" vertical="top"/>
    </xf>
    <xf numFmtId="164" fontId="6" fillId="0" borderId="7" xfId="0" applyNumberFormat="1" applyFont="1" applyBorder="1" applyAlignment="1">
      <alignment horizontal="center" vertical="top"/>
    </xf>
    <xf numFmtId="164" fontId="6" fillId="0" borderId="27" xfId="0" applyNumberFormat="1" applyFont="1" applyBorder="1" applyAlignment="1">
      <alignment horizontal="center" vertical="top"/>
    </xf>
    <xf numFmtId="164" fontId="6" fillId="0" borderId="14" xfId="0" applyNumberFormat="1" applyFont="1" applyBorder="1" applyAlignment="1">
      <alignment horizontal="center" vertical="top"/>
    </xf>
    <xf numFmtId="164" fontId="3" fillId="0" borderId="5" xfId="0" applyNumberFormat="1" applyFont="1" applyFill="1" applyBorder="1" applyAlignment="1">
      <alignment horizontal="center" vertical="top"/>
    </xf>
    <xf numFmtId="164" fontId="3" fillId="0" borderId="11" xfId="0" applyNumberFormat="1" applyFont="1" applyFill="1" applyBorder="1" applyAlignment="1">
      <alignment horizontal="center" vertical="top"/>
    </xf>
    <xf numFmtId="164" fontId="3" fillId="0" borderId="11" xfId="0" applyNumberFormat="1" applyFont="1" applyBorder="1" applyAlignment="1">
      <alignment horizontal="center" vertical="top" wrapText="1"/>
    </xf>
    <xf numFmtId="0" fontId="6" fillId="0" borderId="36" xfId="0" applyFont="1" applyFill="1" applyBorder="1" applyAlignment="1">
      <alignment horizontal="center" vertical="top" wrapText="1"/>
    </xf>
    <xf numFmtId="0" fontId="6" fillId="0" borderId="58" xfId="0" applyFont="1" applyFill="1" applyBorder="1" applyAlignment="1">
      <alignment horizontal="center" vertical="top" wrapText="1"/>
    </xf>
    <xf numFmtId="0" fontId="6" fillId="0" borderId="0" xfId="0" applyFont="1" applyFill="1" applyBorder="1" applyAlignment="1">
      <alignment horizontal="center" vertical="top" wrapText="1"/>
    </xf>
    <xf numFmtId="49" fontId="4" fillId="4" borderId="29" xfId="0" applyNumberFormat="1" applyFont="1" applyFill="1" applyBorder="1" applyAlignment="1">
      <alignment horizontal="center" vertical="top"/>
    </xf>
    <xf numFmtId="49" fontId="4" fillId="4" borderId="48" xfId="0" applyNumberFormat="1" applyFont="1" applyFill="1" applyBorder="1" applyAlignment="1">
      <alignment horizontal="center" vertical="top"/>
    </xf>
    <xf numFmtId="164" fontId="3" fillId="0" borderId="58" xfId="0" applyNumberFormat="1" applyFont="1" applyBorder="1" applyAlignment="1">
      <alignment horizontal="center" vertical="top"/>
    </xf>
    <xf numFmtId="164" fontId="6" fillId="0" borderId="34" xfId="0" applyNumberFormat="1" applyFont="1" applyFill="1" applyBorder="1" applyAlignment="1">
      <alignment horizontal="center" vertical="top"/>
    </xf>
    <xf numFmtId="49" fontId="7" fillId="4" borderId="30"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49" fontId="7" fillId="0" borderId="27" xfId="0" applyNumberFormat="1" applyFont="1" applyBorder="1" applyAlignment="1">
      <alignment horizontal="center" vertical="top"/>
    </xf>
    <xf numFmtId="0" fontId="6" fillId="0" borderId="0" xfId="0" applyFont="1" applyFill="1" applyBorder="1" applyAlignment="1">
      <alignment horizontal="left" vertical="top" wrapText="1"/>
    </xf>
    <xf numFmtId="0" fontId="6" fillId="0" borderId="10" xfId="0" applyFont="1" applyFill="1" applyBorder="1" applyAlignment="1">
      <alignment horizontal="center" vertical="top"/>
    </xf>
    <xf numFmtId="49" fontId="7" fillId="4" borderId="48" xfId="0" applyNumberFormat="1" applyFont="1" applyFill="1" applyBorder="1" applyAlignment="1">
      <alignment vertical="top"/>
    </xf>
    <xf numFmtId="49" fontId="7" fillId="4" borderId="29" xfId="0" applyNumberFormat="1" applyFont="1" applyFill="1" applyBorder="1" applyAlignment="1">
      <alignment vertical="top"/>
    </xf>
    <xf numFmtId="49" fontId="7" fillId="4" borderId="59" xfId="0" applyNumberFormat="1" applyFont="1" applyFill="1" applyBorder="1" applyAlignment="1">
      <alignment vertical="top"/>
    </xf>
    <xf numFmtId="49" fontId="7" fillId="3" borderId="20" xfId="0" applyNumberFormat="1" applyFont="1" applyFill="1" applyBorder="1" applyAlignment="1">
      <alignment vertical="top"/>
    </xf>
    <xf numFmtId="49" fontId="7" fillId="3" borderId="60" xfId="0" applyNumberFormat="1" applyFont="1" applyFill="1" applyBorder="1" applyAlignment="1">
      <alignment vertical="top"/>
    </xf>
    <xf numFmtId="49" fontId="4" fillId="0" borderId="21" xfId="0" applyNumberFormat="1" applyFont="1" applyBorder="1" applyAlignment="1">
      <alignment horizontal="center" vertical="top"/>
    </xf>
    <xf numFmtId="164" fontId="4" fillId="4" borderId="35" xfId="0" applyNumberFormat="1" applyFont="1" applyFill="1" applyBorder="1" applyAlignment="1">
      <alignment horizontal="center" vertical="top"/>
    </xf>
    <xf numFmtId="164" fontId="3" fillId="0" borderId="17" xfId="0" applyNumberFormat="1" applyFont="1" applyFill="1" applyBorder="1" applyAlignment="1">
      <alignment horizontal="center" vertical="top"/>
    </xf>
    <xf numFmtId="164" fontId="3" fillId="0" borderId="21" xfId="0" applyNumberFormat="1" applyFont="1" applyFill="1" applyBorder="1" applyAlignment="1">
      <alignment horizontal="center" vertical="top" wrapText="1"/>
    </xf>
    <xf numFmtId="164" fontId="7" fillId="0" borderId="0" xfId="0" applyNumberFormat="1" applyFont="1" applyFill="1" applyBorder="1" applyAlignment="1">
      <alignment horizontal="center" vertical="top"/>
    </xf>
    <xf numFmtId="165" fontId="6" fillId="0" borderId="17" xfId="0" applyNumberFormat="1" applyFont="1" applyFill="1" applyBorder="1" applyAlignment="1">
      <alignment horizontal="center" vertical="top"/>
    </xf>
    <xf numFmtId="164" fontId="7" fillId="0" borderId="27" xfId="0" applyNumberFormat="1" applyFont="1" applyFill="1" applyBorder="1" applyAlignment="1">
      <alignment horizontal="center" vertical="top"/>
    </xf>
    <xf numFmtId="164" fontId="3" fillId="0" borderId="29" xfId="0" applyNumberFormat="1" applyFont="1" applyBorder="1" applyAlignment="1">
      <alignment horizontal="center" vertical="top"/>
    </xf>
    <xf numFmtId="49" fontId="7" fillId="0" borderId="21" xfId="0" applyNumberFormat="1" applyFont="1" applyBorder="1" applyAlignment="1">
      <alignment horizontal="center" vertical="top"/>
    </xf>
    <xf numFmtId="49" fontId="7" fillId="0" borderId="67" xfId="0" applyNumberFormat="1" applyFont="1" applyBorder="1" applyAlignment="1">
      <alignment horizontal="center" vertical="top"/>
    </xf>
    <xf numFmtId="0" fontId="6" fillId="0" borderId="48" xfId="0" applyFont="1" applyFill="1" applyBorder="1" applyAlignment="1">
      <alignment horizontal="center" vertical="top" wrapText="1"/>
    </xf>
    <xf numFmtId="49" fontId="4" fillId="3" borderId="31" xfId="0" applyNumberFormat="1" applyFont="1" applyFill="1" applyBorder="1" applyAlignment="1">
      <alignment horizontal="left" vertical="top"/>
    </xf>
    <xf numFmtId="49" fontId="4" fillId="0" borderId="21" xfId="0" applyNumberFormat="1" applyFont="1" applyFill="1" applyBorder="1" applyAlignment="1">
      <alignment horizontal="center" vertical="top"/>
    </xf>
    <xf numFmtId="0" fontId="3" fillId="0" borderId="0" xfId="0" applyFont="1" applyFill="1" applyBorder="1" applyAlignment="1">
      <alignment horizontal="center" vertical="top" wrapText="1"/>
    </xf>
    <xf numFmtId="164" fontId="6" fillId="0" borderId="19" xfId="0" applyNumberFormat="1" applyFont="1" applyBorder="1" applyAlignment="1">
      <alignment horizontal="center" vertical="top"/>
    </xf>
    <xf numFmtId="165" fontId="6" fillId="0" borderId="10" xfId="0" applyNumberFormat="1" applyFont="1" applyFill="1" applyBorder="1" applyAlignment="1">
      <alignment horizontal="center" vertical="top"/>
    </xf>
    <xf numFmtId="0" fontId="6" fillId="0" borderId="0" xfId="0" applyFont="1" applyFill="1" applyBorder="1" applyAlignment="1">
      <alignment horizontal="center" vertical="top"/>
    </xf>
    <xf numFmtId="0" fontId="3" fillId="0" borderId="0" xfId="0" applyFont="1" applyFill="1" applyBorder="1" applyAlignment="1">
      <alignment horizontal="center" vertical="top"/>
    </xf>
    <xf numFmtId="164" fontId="6" fillId="0" borderId="26" xfId="0" applyNumberFormat="1" applyFont="1" applyBorder="1" applyAlignment="1">
      <alignment horizontal="center" vertical="top"/>
    </xf>
    <xf numFmtId="165" fontId="6" fillId="0" borderId="36" xfId="0" applyNumberFormat="1" applyFont="1" applyFill="1" applyBorder="1" applyAlignment="1">
      <alignment horizontal="center" vertical="top"/>
    </xf>
    <xf numFmtId="165" fontId="6" fillId="0" borderId="11" xfId="0" applyNumberFormat="1" applyFont="1" applyFill="1" applyBorder="1" applyAlignment="1">
      <alignment horizontal="center" vertical="top"/>
    </xf>
    <xf numFmtId="49" fontId="4" fillId="3" borderId="67" xfId="0" applyNumberFormat="1" applyFont="1" applyFill="1" applyBorder="1" applyAlignment="1">
      <alignment horizontal="center" vertical="top"/>
    </xf>
    <xf numFmtId="164" fontId="3" fillId="0" borderId="9" xfId="0" applyNumberFormat="1" applyFont="1" applyFill="1" applyBorder="1" applyAlignment="1">
      <alignment horizontal="center" vertical="top" wrapText="1"/>
    </xf>
    <xf numFmtId="164" fontId="3" fillId="0" borderId="8" xfId="0" applyNumberFormat="1" applyFont="1" applyFill="1" applyBorder="1" applyAlignment="1">
      <alignment horizontal="center" vertical="top" wrapText="1"/>
    </xf>
    <xf numFmtId="164" fontId="3" fillId="0" borderId="8" xfId="0" applyNumberFormat="1" applyFont="1" applyFill="1" applyBorder="1" applyAlignment="1">
      <alignment vertical="top" wrapText="1"/>
    </xf>
    <xf numFmtId="164" fontId="3" fillId="0" borderId="50" xfId="0" applyNumberFormat="1" applyFont="1" applyFill="1" applyBorder="1" applyAlignment="1">
      <alignment horizontal="center" vertical="top" wrapText="1"/>
    </xf>
    <xf numFmtId="165" fontId="6" fillId="0" borderId="21" xfId="0" applyNumberFormat="1" applyFont="1" applyFill="1" applyBorder="1" applyAlignment="1">
      <alignment horizontal="center" vertical="top"/>
    </xf>
    <xf numFmtId="165" fontId="6" fillId="0" borderId="66" xfId="0" applyNumberFormat="1" applyFont="1" applyFill="1" applyBorder="1" applyAlignment="1">
      <alignment horizontal="center" vertical="top"/>
    </xf>
    <xf numFmtId="165" fontId="6" fillId="0" borderId="69" xfId="0" applyNumberFormat="1" applyFont="1" applyFill="1" applyBorder="1" applyAlignment="1">
      <alignment horizontal="center" vertical="top"/>
    </xf>
    <xf numFmtId="164" fontId="3" fillId="0" borderId="29" xfId="0" applyNumberFormat="1" applyFont="1" applyFill="1" applyBorder="1" applyAlignment="1">
      <alignment horizontal="center" vertical="top" wrapText="1"/>
    </xf>
    <xf numFmtId="164" fontId="7" fillId="3" borderId="15" xfId="0" applyNumberFormat="1" applyFont="1" applyFill="1" applyBorder="1" applyAlignment="1">
      <alignment horizontal="center" vertical="top"/>
    </xf>
    <xf numFmtId="164" fontId="7" fillId="3" borderId="40" xfId="0" applyNumberFormat="1" applyFont="1" applyFill="1" applyBorder="1" applyAlignment="1">
      <alignment horizontal="center" vertical="top"/>
    </xf>
    <xf numFmtId="164" fontId="7" fillId="3" borderId="41" xfId="0" applyNumberFormat="1" applyFont="1" applyFill="1" applyBorder="1" applyAlignment="1">
      <alignment horizontal="center" vertical="top"/>
    </xf>
    <xf numFmtId="2" fontId="6" fillId="0" borderId="17" xfId="0" applyNumberFormat="1" applyFont="1" applyFill="1" applyBorder="1" applyAlignment="1">
      <alignment horizontal="center" vertical="top"/>
    </xf>
    <xf numFmtId="2" fontId="3" fillId="0" borderId="17" xfId="0" applyNumberFormat="1" applyFont="1" applyFill="1" applyBorder="1" applyAlignment="1">
      <alignment horizontal="center" vertical="top" wrapText="1"/>
    </xf>
    <xf numFmtId="2" fontId="6" fillId="0" borderId="34" xfId="0" applyNumberFormat="1" applyFont="1" applyFill="1" applyBorder="1" applyAlignment="1">
      <alignment horizontal="center" vertical="top"/>
    </xf>
    <xf numFmtId="164" fontId="10" fillId="5" borderId="70" xfId="0" applyNumberFormat="1" applyFont="1" applyFill="1" applyBorder="1" applyAlignment="1">
      <alignment horizontal="center" vertical="top"/>
    </xf>
    <xf numFmtId="164" fontId="10" fillId="5" borderId="60" xfId="0" applyNumberFormat="1" applyFont="1" applyFill="1" applyBorder="1" applyAlignment="1">
      <alignment horizontal="center" vertical="top"/>
    </xf>
    <xf numFmtId="164" fontId="10" fillId="5" borderId="68" xfId="0" applyNumberFormat="1" applyFont="1" applyFill="1" applyBorder="1" applyAlignment="1">
      <alignment horizontal="center" vertical="top"/>
    </xf>
    <xf numFmtId="164" fontId="10" fillId="5" borderId="62" xfId="0" applyNumberFormat="1" applyFont="1" applyFill="1" applyBorder="1" applyAlignment="1">
      <alignment horizontal="center" vertical="top"/>
    </xf>
    <xf numFmtId="164" fontId="10" fillId="5" borderId="61" xfId="0" applyNumberFormat="1" applyFont="1" applyFill="1" applyBorder="1" applyAlignment="1">
      <alignment horizontal="center" vertical="top"/>
    </xf>
    <xf numFmtId="164" fontId="7" fillId="3" borderId="63" xfId="0" applyNumberFormat="1" applyFont="1" applyFill="1" applyBorder="1" applyAlignment="1">
      <alignment horizontal="center" vertical="top"/>
    </xf>
    <xf numFmtId="164" fontId="7" fillId="3" borderId="35" xfId="0" applyNumberFormat="1" applyFont="1" applyFill="1" applyBorder="1" applyAlignment="1">
      <alignment horizontal="center" vertical="top"/>
    </xf>
    <xf numFmtId="0" fontId="3" fillId="0" borderId="2" xfId="0" applyFont="1" applyBorder="1" applyAlignment="1">
      <alignment vertical="top"/>
    </xf>
    <xf numFmtId="164" fontId="3" fillId="0" borderId="22" xfId="0" applyNumberFormat="1" applyFont="1" applyBorder="1" applyAlignment="1">
      <alignment horizontal="center" vertical="top"/>
    </xf>
    <xf numFmtId="0" fontId="3" fillId="0" borderId="3" xfId="0" applyFont="1" applyBorder="1" applyAlignment="1">
      <alignment vertical="top"/>
    </xf>
    <xf numFmtId="0" fontId="3" fillId="0" borderId="4" xfId="0" applyFont="1" applyBorder="1" applyAlignment="1">
      <alignment vertical="top"/>
    </xf>
    <xf numFmtId="0" fontId="7" fillId="2" borderId="34" xfId="0" applyFont="1" applyFill="1" applyBorder="1" applyAlignment="1">
      <alignment vertical="top" wrapText="1"/>
    </xf>
    <xf numFmtId="0" fontId="6" fillId="2" borderId="17" xfId="0" applyFont="1" applyFill="1" applyBorder="1" applyAlignment="1">
      <alignment vertical="top" wrapText="1"/>
    </xf>
    <xf numFmtId="0" fontId="7" fillId="2" borderId="17" xfId="0" applyFont="1" applyFill="1" applyBorder="1" applyAlignment="1">
      <alignment vertical="top" wrapText="1"/>
    </xf>
    <xf numFmtId="0" fontId="3" fillId="0" borderId="48" xfId="0" applyFont="1" applyFill="1" applyBorder="1" applyAlignment="1">
      <alignment horizontal="center" vertical="top" wrapText="1"/>
    </xf>
    <xf numFmtId="164" fontId="3" fillId="0" borderId="24" xfId="0" applyNumberFormat="1" applyFont="1" applyBorder="1" applyAlignment="1">
      <alignment horizontal="center" vertical="top"/>
    </xf>
    <xf numFmtId="164" fontId="3" fillId="0" borderId="25" xfId="0" applyNumberFormat="1" applyFont="1" applyBorder="1" applyAlignment="1">
      <alignment horizontal="center" vertical="top"/>
    </xf>
    <xf numFmtId="164" fontId="6" fillId="0" borderId="11" xfId="0" applyNumberFormat="1" applyFont="1" applyFill="1" applyBorder="1" applyAlignment="1">
      <alignment horizontal="center" vertical="top"/>
    </xf>
    <xf numFmtId="164" fontId="6" fillId="0" borderId="42" xfId="0" applyNumberFormat="1" applyFont="1" applyBorder="1" applyAlignment="1">
      <alignment horizontal="center" vertical="top"/>
    </xf>
    <xf numFmtId="164" fontId="4" fillId="0" borderId="34" xfId="0" applyNumberFormat="1" applyFont="1" applyFill="1" applyBorder="1" applyAlignment="1">
      <alignment horizontal="center" vertical="top"/>
    </xf>
    <xf numFmtId="164" fontId="4" fillId="0" borderId="23" xfId="0" applyNumberFormat="1" applyFont="1" applyFill="1" applyBorder="1" applyAlignment="1">
      <alignment horizontal="center" vertical="top"/>
    </xf>
    <xf numFmtId="164" fontId="3" fillId="0" borderId="50" xfId="0" applyNumberFormat="1" applyFont="1" applyBorder="1" applyAlignment="1">
      <alignment horizontal="center" vertical="top"/>
    </xf>
    <xf numFmtId="164" fontId="3" fillId="0" borderId="66" xfId="0" applyNumberFormat="1" applyFont="1" applyBorder="1" applyAlignment="1">
      <alignment horizontal="center" vertical="top"/>
    </xf>
    <xf numFmtId="164" fontId="6" fillId="2" borderId="1" xfId="0" applyNumberFormat="1" applyFont="1" applyFill="1" applyBorder="1" applyAlignment="1">
      <alignment horizontal="center" vertical="top" wrapText="1"/>
    </xf>
    <xf numFmtId="0" fontId="6" fillId="2" borderId="1" xfId="0" applyFont="1" applyFill="1" applyBorder="1" applyAlignment="1">
      <alignment vertical="top" wrapText="1"/>
    </xf>
    <xf numFmtId="0" fontId="6" fillId="2" borderId="19" xfId="0" applyFont="1" applyFill="1" applyBorder="1" applyAlignment="1">
      <alignment horizontal="center" vertical="top" wrapText="1"/>
    </xf>
    <xf numFmtId="164" fontId="7" fillId="0" borderId="33" xfId="0" applyNumberFormat="1" applyFont="1" applyFill="1" applyBorder="1" applyAlignment="1">
      <alignment horizontal="center" vertical="top"/>
    </xf>
    <xf numFmtId="164" fontId="7" fillId="0" borderId="42" xfId="0" applyNumberFormat="1" applyFont="1" applyFill="1" applyBorder="1" applyAlignment="1">
      <alignment horizontal="center" vertical="top"/>
    </xf>
    <xf numFmtId="164" fontId="7" fillId="0" borderId="31" xfId="0" applyNumberFormat="1" applyFont="1" applyFill="1" applyBorder="1" applyAlignment="1">
      <alignment horizontal="center" vertical="top"/>
    </xf>
    <xf numFmtId="164" fontId="3" fillId="0" borderId="52" xfId="0" applyNumberFormat="1" applyFont="1" applyFill="1" applyBorder="1" applyAlignment="1">
      <alignment horizontal="center" vertical="top"/>
    </xf>
    <xf numFmtId="164" fontId="3" fillId="0" borderId="53" xfId="0" applyNumberFormat="1" applyFont="1" applyFill="1" applyBorder="1" applyAlignment="1">
      <alignment horizontal="center" vertical="top"/>
    </xf>
    <xf numFmtId="164" fontId="3" fillId="0" borderId="55" xfId="0" applyNumberFormat="1" applyFont="1" applyFill="1" applyBorder="1" applyAlignment="1">
      <alignment horizontal="center" vertical="top"/>
    </xf>
    <xf numFmtId="164" fontId="3" fillId="0" borderId="16" xfId="0" applyNumberFormat="1" applyFont="1" applyBorder="1" applyAlignment="1">
      <alignment horizontal="center" vertical="top" wrapText="1"/>
    </xf>
    <xf numFmtId="0" fontId="6" fillId="0" borderId="0" xfId="0" applyFont="1"/>
    <xf numFmtId="0" fontId="6" fillId="0" borderId="0" xfId="0" applyFont="1" applyAlignment="1">
      <alignment horizontal="right"/>
    </xf>
    <xf numFmtId="0" fontId="6" fillId="0" borderId="0" xfId="0" applyFont="1" applyFill="1"/>
    <xf numFmtId="164" fontId="7" fillId="0" borderId="0" xfId="0" applyNumberFormat="1" applyFont="1" applyFill="1" applyBorder="1" applyAlignment="1">
      <alignment horizontal="center" vertical="top" wrapText="1"/>
    </xf>
    <xf numFmtId="164" fontId="6" fillId="0" borderId="52" xfId="0" applyNumberFormat="1" applyFont="1" applyBorder="1" applyAlignment="1">
      <alignment horizontal="center" vertical="top" wrapText="1"/>
    </xf>
    <xf numFmtId="164" fontId="6" fillId="0" borderId="58" xfId="0" applyNumberFormat="1" applyFont="1" applyBorder="1" applyAlignment="1">
      <alignment horizontal="center" vertical="top" wrapText="1"/>
    </xf>
    <xf numFmtId="164" fontId="6" fillId="0" borderId="71" xfId="0" applyNumberFormat="1" applyFont="1" applyBorder="1" applyAlignment="1">
      <alignment horizontal="center" vertical="top" wrapText="1"/>
    </xf>
    <xf numFmtId="164" fontId="6" fillId="0" borderId="72" xfId="0" applyNumberFormat="1" applyFont="1" applyBorder="1" applyAlignment="1">
      <alignment horizontal="center" vertical="top" wrapText="1"/>
    </xf>
    <xf numFmtId="164" fontId="6" fillId="0" borderId="73" xfId="0" applyNumberFormat="1" applyFont="1" applyBorder="1" applyAlignment="1">
      <alignment horizontal="center" vertical="top"/>
    </xf>
    <xf numFmtId="164" fontId="6" fillId="0" borderId="51" xfId="0" applyNumberFormat="1" applyFont="1" applyBorder="1" applyAlignment="1">
      <alignment horizontal="center" vertical="top" wrapText="1"/>
    </xf>
    <xf numFmtId="164" fontId="6" fillId="0" borderId="0" xfId="0" applyNumberFormat="1" applyFont="1" applyFill="1"/>
    <xf numFmtId="164" fontId="6" fillId="0" borderId="0" xfId="0" applyNumberFormat="1" applyFont="1"/>
    <xf numFmtId="0" fontId="3" fillId="0" borderId="17" xfId="0" applyFont="1" applyBorder="1" applyAlignment="1">
      <alignment horizontal="center" vertical="top" wrapText="1"/>
    </xf>
    <xf numFmtId="0" fontId="3" fillId="0" borderId="56" xfId="0" applyFont="1" applyBorder="1" applyAlignment="1">
      <alignment horizontal="center" vertical="top" wrapText="1"/>
    </xf>
    <xf numFmtId="164" fontId="3" fillId="2" borderId="37" xfId="0" applyNumberFormat="1" applyFont="1" applyFill="1" applyBorder="1" applyAlignment="1">
      <alignment horizontal="center" vertical="top"/>
    </xf>
    <xf numFmtId="164" fontId="3" fillId="2" borderId="42" xfId="0" applyNumberFormat="1" applyFont="1" applyFill="1" applyBorder="1" applyAlignment="1">
      <alignment horizontal="center" vertical="top"/>
    </xf>
    <xf numFmtId="164" fontId="3" fillId="2" borderId="31" xfId="0" applyNumberFormat="1" applyFont="1" applyFill="1" applyBorder="1" applyAlignment="1">
      <alignment horizontal="center" vertical="top"/>
    </xf>
    <xf numFmtId="164" fontId="6" fillId="0" borderId="28" xfId="0" applyNumberFormat="1" applyFont="1" applyBorder="1" applyAlignment="1">
      <alignment horizontal="center" vertical="top"/>
    </xf>
    <xf numFmtId="164" fontId="6" fillId="0" borderId="3" xfId="0" applyNumberFormat="1" applyFont="1" applyBorder="1" applyAlignment="1">
      <alignment horizontal="center" vertical="top"/>
    </xf>
    <xf numFmtId="164" fontId="6" fillId="0" borderId="2" xfId="0" applyNumberFormat="1" applyFont="1" applyBorder="1" applyAlignment="1">
      <alignment horizontal="center" vertical="top"/>
    </xf>
    <xf numFmtId="164" fontId="6" fillId="0" borderId="4" xfId="0" applyNumberFormat="1" applyFont="1" applyBorder="1" applyAlignment="1">
      <alignment horizontal="center" vertical="top"/>
    </xf>
    <xf numFmtId="164" fontId="6" fillId="0" borderId="24" xfId="0" applyNumberFormat="1" applyFont="1" applyBorder="1" applyAlignment="1">
      <alignment horizontal="center" vertical="top"/>
    </xf>
    <xf numFmtId="164" fontId="6" fillId="0" borderId="25" xfId="0" applyNumberFormat="1" applyFont="1" applyBorder="1" applyAlignment="1">
      <alignment horizontal="center" vertical="top"/>
    </xf>
    <xf numFmtId="164" fontId="6" fillId="0" borderId="24" xfId="0" applyNumberFormat="1" applyFont="1" applyBorder="1" applyAlignment="1">
      <alignment vertical="top"/>
    </xf>
    <xf numFmtId="164" fontId="6" fillId="0" borderId="2" xfId="0" applyNumberFormat="1" applyFont="1" applyBorder="1" applyAlignment="1">
      <alignment vertical="top"/>
    </xf>
    <xf numFmtId="164" fontId="6" fillId="0" borderId="25" xfId="0" applyNumberFormat="1" applyFont="1" applyBorder="1" applyAlignment="1">
      <alignment vertical="top"/>
    </xf>
    <xf numFmtId="49" fontId="19" fillId="0" borderId="21" xfId="2" applyNumberFormat="1" applyFont="1" applyBorder="1" applyAlignment="1">
      <alignment horizontal="left"/>
    </xf>
    <xf numFmtId="0" fontId="6" fillId="0" borderId="55" xfId="0" applyFont="1" applyBorder="1" applyAlignment="1">
      <alignment horizontal="center" vertical="center"/>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20" xfId="0" applyNumberFormat="1" applyFont="1" applyBorder="1" applyAlignment="1">
      <alignment horizontal="center" vertical="center" wrapText="1"/>
    </xf>
    <xf numFmtId="0" fontId="6" fillId="0" borderId="20" xfId="0" applyFont="1" applyFill="1" applyBorder="1" applyAlignment="1">
      <alignment horizontal="center" vertical="center" wrapText="1"/>
    </xf>
    <xf numFmtId="0" fontId="22" fillId="0" borderId="13" xfId="2" applyFont="1" applyBorder="1" applyAlignment="1">
      <alignment horizontal="left" vertical="top" wrapText="1"/>
    </xf>
    <xf numFmtId="0" fontId="19" fillId="0" borderId="13" xfId="2" applyFont="1" applyBorder="1" applyAlignment="1">
      <alignment horizontal="center" vertical="top"/>
    </xf>
    <xf numFmtId="0" fontId="19" fillId="0" borderId="65" xfId="2" applyFont="1" applyBorder="1" applyAlignment="1">
      <alignment horizontal="center" vertical="top"/>
    </xf>
    <xf numFmtId="0" fontId="23" fillId="0" borderId="20" xfId="2" applyFont="1" applyBorder="1" applyAlignment="1">
      <alignment horizontal="left" vertical="top" wrapText="1"/>
    </xf>
    <xf numFmtId="0" fontId="6" fillId="0" borderId="0" xfId="1" applyFont="1" applyBorder="1" applyAlignment="1">
      <alignment horizontal="center" vertical="center" wrapText="1"/>
    </xf>
    <xf numFmtId="0" fontId="6" fillId="0" borderId="20" xfId="1" applyFont="1" applyBorder="1" applyAlignment="1">
      <alignment horizontal="left" vertical="top" wrapText="1"/>
    </xf>
    <xf numFmtId="0" fontId="22" fillId="0" borderId="20" xfId="2" applyFont="1" applyBorder="1" applyAlignment="1">
      <alignment horizontal="left" vertical="top" wrapText="1"/>
    </xf>
    <xf numFmtId="0" fontId="24" fillId="0" borderId="20" xfId="2" applyFont="1" applyBorder="1" applyAlignment="1">
      <alignment horizontal="left" vertical="top" wrapText="1"/>
    </xf>
    <xf numFmtId="0" fontId="19" fillId="0" borderId="20" xfId="2" applyFont="1" applyBorder="1" applyAlignment="1">
      <alignment horizontal="left" vertical="top" wrapText="1"/>
    </xf>
    <xf numFmtId="0" fontId="19" fillId="0" borderId="20" xfId="2" applyFont="1" applyBorder="1" applyAlignment="1">
      <alignment horizontal="center" vertical="center"/>
    </xf>
    <xf numFmtId="0" fontId="19" fillId="0" borderId="0" xfId="2" applyFont="1" applyBorder="1" applyAlignment="1">
      <alignment horizontal="center" vertical="center"/>
    </xf>
    <xf numFmtId="0" fontId="19" fillId="0" borderId="8" xfId="2" applyFont="1" applyBorder="1" applyAlignment="1">
      <alignment horizontal="center" vertical="center"/>
    </xf>
    <xf numFmtId="0" fontId="19" fillId="0" borderId="49" xfId="2" applyFont="1" applyBorder="1" applyAlignment="1">
      <alignment horizontal="center" vertical="center"/>
    </xf>
    <xf numFmtId="0" fontId="18" fillId="0" borderId="20" xfId="2" applyFont="1" applyBorder="1" applyAlignment="1">
      <alignment horizontal="left" vertical="top" wrapText="1"/>
    </xf>
    <xf numFmtId="0" fontId="19" fillId="0" borderId="55" xfId="2" applyFont="1" applyBorder="1" applyAlignment="1">
      <alignment horizontal="center" vertical="top"/>
    </xf>
    <xf numFmtId="0" fontId="19" fillId="0" borderId="55" xfId="2" applyFont="1" applyBorder="1" applyAlignment="1">
      <alignment horizontal="center" vertical="center"/>
    </xf>
    <xf numFmtId="0" fontId="25" fillId="0" borderId="20" xfId="2" applyFont="1" applyBorder="1" applyAlignment="1">
      <alignment horizontal="left" vertical="top" wrapText="1"/>
    </xf>
    <xf numFmtId="0" fontId="6" fillId="0" borderId="20" xfId="2" applyFont="1" applyBorder="1" applyAlignment="1">
      <alignment horizontal="center" vertical="center"/>
    </xf>
    <xf numFmtId="0" fontId="6" fillId="0" borderId="20" xfId="0" applyFont="1" applyFill="1" applyBorder="1" applyAlignment="1">
      <alignment horizontal="left" wrapText="1"/>
    </xf>
    <xf numFmtId="0" fontId="6" fillId="0" borderId="20" xfId="0" applyFont="1" applyBorder="1" applyAlignment="1">
      <alignment wrapText="1"/>
    </xf>
    <xf numFmtId="0" fontId="6" fillId="0" borderId="21" xfId="0" applyFont="1" applyFill="1" applyBorder="1" applyAlignment="1">
      <alignment horizontal="center" vertical="center" wrapText="1"/>
    </xf>
    <xf numFmtId="0" fontId="20" fillId="0" borderId="0" xfId="2" applyFont="1" applyAlignment="1">
      <alignment horizontal="center" vertical="center" wrapText="1"/>
    </xf>
    <xf numFmtId="0" fontId="27" fillId="0" borderId="0" xfId="0" applyFont="1" applyAlignment="1">
      <alignment horizontal="center" vertical="center"/>
    </xf>
    <xf numFmtId="0" fontId="9" fillId="0" borderId="0" xfId="0" applyFont="1" applyAlignment="1">
      <alignment horizontal="center" vertical="center"/>
    </xf>
    <xf numFmtId="0" fontId="26" fillId="0" borderId="0" xfId="0" applyFont="1" applyAlignment="1">
      <alignment horizontal="center" vertical="center"/>
    </xf>
    <xf numFmtId="0" fontId="5" fillId="0" borderId="0" xfId="0" applyFont="1"/>
    <xf numFmtId="0" fontId="28" fillId="0" borderId="0" xfId="2" applyFont="1" applyBorder="1" applyAlignment="1">
      <alignment horizontal="center" vertical="center" wrapText="1"/>
    </xf>
    <xf numFmtId="0" fontId="4" fillId="0" borderId="2" xfId="0" applyFont="1" applyBorder="1" applyAlignment="1">
      <alignment horizontal="center" wrapText="1"/>
    </xf>
    <xf numFmtId="0" fontId="26" fillId="0" borderId="2" xfId="0" applyFont="1" applyBorder="1" applyAlignment="1">
      <alignment horizontal="center"/>
    </xf>
    <xf numFmtId="49" fontId="9" fillId="0" borderId="2" xfId="0" applyNumberFormat="1" applyFont="1" applyBorder="1" applyAlignment="1">
      <alignment horizontal="center"/>
    </xf>
    <xf numFmtId="0" fontId="9" fillId="0" borderId="0" xfId="0" applyFont="1" applyBorder="1" applyAlignment="1">
      <alignment horizontal="center" vertical="center"/>
    </xf>
    <xf numFmtId="0" fontId="2" fillId="0" borderId="4" xfId="0" applyFont="1" applyBorder="1" applyAlignment="1">
      <alignment horizontal="center" vertical="top"/>
    </xf>
    <xf numFmtId="0" fontId="9" fillId="0" borderId="46" xfId="0" applyFont="1" applyBorder="1" applyAlignment="1">
      <alignment horizontal="center" vertical="center"/>
    </xf>
    <xf numFmtId="0" fontId="9" fillId="0" borderId="3" xfId="0" applyFont="1" applyBorder="1" applyAlignment="1">
      <alignment horizontal="center" vertical="center"/>
    </xf>
    <xf numFmtId="0" fontId="28" fillId="0" borderId="0" xfId="2" applyFont="1" applyAlignment="1">
      <alignment horizontal="center" vertical="center" wrapText="1"/>
    </xf>
    <xf numFmtId="0" fontId="5" fillId="0" borderId="46"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49" fontId="29" fillId="0" borderId="0" xfId="2" applyNumberFormat="1" applyFont="1" applyAlignment="1" applyProtection="1">
      <alignment horizontal="center" vertical="top"/>
    </xf>
    <xf numFmtId="0" fontId="21" fillId="0" borderId="0" xfId="2" applyFont="1"/>
    <xf numFmtId="0" fontId="21" fillId="0" borderId="0" xfId="2" applyFont="1" applyAlignment="1">
      <alignment horizontal="center"/>
    </xf>
    <xf numFmtId="49" fontId="19" fillId="0" borderId="26" xfId="2" applyNumberFormat="1" applyFont="1" applyBorder="1" applyAlignment="1">
      <alignment horizontal="center"/>
    </xf>
    <xf numFmtId="0" fontId="19" fillId="0" borderId="28" xfId="2" applyFont="1" applyBorder="1" applyAlignment="1">
      <alignment horizontal="center" vertical="top"/>
    </xf>
    <xf numFmtId="0" fontId="6" fillId="0" borderId="0" xfId="0" applyFont="1" applyBorder="1" applyAlignment="1">
      <alignment horizontal="center" vertical="top" wrapText="1"/>
    </xf>
    <xf numFmtId="0" fontId="6" fillId="0" borderId="20" xfId="0" applyFont="1" applyBorder="1" applyAlignment="1">
      <alignment horizontal="center" vertical="top" wrapText="1"/>
    </xf>
    <xf numFmtId="0" fontId="5" fillId="0" borderId="20" xfId="0" applyFont="1" applyBorder="1"/>
    <xf numFmtId="0" fontId="5" fillId="0" borderId="55" xfId="0" applyFont="1" applyBorder="1" applyAlignment="1">
      <alignment horizontal="center" vertical="center"/>
    </xf>
    <xf numFmtId="0" fontId="5" fillId="0" borderId="20" xfId="0" applyFont="1" applyBorder="1" applyAlignment="1">
      <alignment vertical="center"/>
    </xf>
    <xf numFmtId="0" fontId="5" fillId="0" borderId="0" xfId="0" applyFont="1" applyBorder="1" applyAlignment="1">
      <alignment vertical="center"/>
    </xf>
    <xf numFmtId="0" fontId="19" fillId="0" borderId="20" xfId="2" applyFont="1" applyFill="1" applyBorder="1" applyAlignment="1">
      <alignment horizontal="center" vertical="center"/>
    </xf>
    <xf numFmtId="0" fontId="19" fillId="0" borderId="0" xfId="2" applyFont="1" applyFill="1" applyBorder="1" applyAlignment="1">
      <alignment horizontal="center" vertical="center"/>
    </xf>
    <xf numFmtId="0" fontId="19" fillId="0" borderId="21" xfId="2" applyFont="1" applyBorder="1" applyAlignment="1">
      <alignment horizontal="left"/>
    </xf>
    <xf numFmtId="0" fontId="6" fillId="0" borderId="0" xfId="0" applyFont="1" applyBorder="1" applyAlignment="1">
      <alignment horizontal="center" vertical="center"/>
    </xf>
    <xf numFmtId="0" fontId="18" fillId="0" borderId="0" xfId="2" applyFont="1" applyBorder="1" applyAlignment="1">
      <alignment horizontal="center" vertical="center"/>
    </xf>
    <xf numFmtId="0" fontId="18" fillId="0" borderId="20" xfId="2" applyFont="1" applyFill="1" applyBorder="1" applyAlignment="1">
      <alignment horizontal="center" vertical="center"/>
    </xf>
    <xf numFmtId="0" fontId="18" fillId="0" borderId="0" xfId="2" applyFont="1" applyFill="1" applyBorder="1" applyAlignment="1">
      <alignment horizontal="center" vertical="center"/>
    </xf>
    <xf numFmtId="0" fontId="6" fillId="0" borderId="21" xfId="0" applyFont="1" applyBorder="1" applyAlignment="1">
      <alignment horizontal="center" vertical="center"/>
    </xf>
    <xf numFmtId="0" fontId="23" fillId="0" borderId="20" xfId="2" applyFont="1" applyFill="1" applyBorder="1" applyAlignment="1">
      <alignment horizontal="left" vertical="top" wrapText="1"/>
    </xf>
    <xf numFmtId="0" fontId="18" fillId="0" borderId="55" xfId="2" applyFont="1" applyBorder="1" applyAlignment="1">
      <alignment horizontal="center" vertical="center"/>
    </xf>
    <xf numFmtId="49" fontId="19" fillId="0" borderId="21" xfId="2" applyNumberFormat="1" applyFont="1" applyFill="1" applyBorder="1" applyAlignment="1">
      <alignment horizontal="left"/>
    </xf>
    <xf numFmtId="0" fontId="18" fillId="0" borderId="20" xfId="2" applyFont="1" applyFill="1" applyBorder="1" applyAlignment="1">
      <alignment horizontal="left" vertical="top" wrapText="1"/>
    </xf>
    <xf numFmtId="164" fontId="19" fillId="0" borderId="0" xfId="2" applyNumberFormat="1" applyFont="1" applyFill="1" applyBorder="1" applyAlignment="1">
      <alignment horizontal="center" vertical="center"/>
    </xf>
    <xf numFmtId="164" fontId="19" fillId="0" borderId="20" xfId="2" applyNumberFormat="1" applyFont="1" applyFill="1" applyBorder="1" applyAlignment="1">
      <alignment horizontal="center" vertical="center"/>
    </xf>
    <xf numFmtId="0" fontId="5" fillId="0" borderId="0" xfId="0" applyFont="1" applyFill="1"/>
    <xf numFmtId="0" fontId="18" fillId="0" borderId="20" xfId="2" applyFont="1" applyBorder="1" applyAlignment="1">
      <alignment horizontal="center" vertical="center"/>
    </xf>
    <xf numFmtId="0" fontId="6" fillId="0" borderId="21" xfId="0" applyFont="1" applyBorder="1"/>
    <xf numFmtId="0" fontId="6" fillId="2" borderId="20" xfId="0" applyFont="1" applyFill="1" applyBorder="1"/>
    <xf numFmtId="0" fontId="6" fillId="0" borderId="20" xfId="2" applyFont="1" applyFill="1" applyBorder="1" applyAlignment="1">
      <alignment horizontal="center" vertical="center"/>
    </xf>
    <xf numFmtId="49" fontId="6" fillId="0" borderId="21" xfId="2" applyNumberFormat="1" applyFont="1" applyBorder="1" applyAlignment="1">
      <alignment horizontal="left"/>
    </xf>
    <xf numFmtId="0" fontId="6" fillId="0" borderId="55" xfId="2" applyFont="1" applyBorder="1" applyAlignment="1">
      <alignment horizontal="center" vertical="center"/>
    </xf>
    <xf numFmtId="0" fontId="6" fillId="0" borderId="0" xfId="2" applyFont="1" applyBorder="1" applyAlignment="1">
      <alignment horizontal="center" vertical="center"/>
    </xf>
    <xf numFmtId="0" fontId="19" fillId="0" borderId="21" xfId="2" applyFont="1" applyBorder="1" applyAlignment="1">
      <alignment horizontal="center"/>
    </xf>
    <xf numFmtId="0" fontId="18" fillId="2" borderId="20" xfId="2" applyFont="1" applyFill="1" applyBorder="1" applyAlignment="1">
      <alignment horizontal="left" vertical="top" wrapText="1"/>
    </xf>
    <xf numFmtId="0" fontId="19" fillId="0" borderId="53" xfId="2" applyFont="1" applyBorder="1" applyAlignment="1">
      <alignment horizontal="center"/>
    </xf>
    <xf numFmtId="0" fontId="18" fillId="0" borderId="8" xfId="2" applyFont="1" applyBorder="1" applyAlignment="1">
      <alignment horizontal="left" vertical="top" wrapText="1"/>
    </xf>
    <xf numFmtId="0" fontId="18" fillId="0" borderId="52" xfId="2" applyFont="1" applyBorder="1" applyAlignment="1">
      <alignment horizontal="center" vertical="center"/>
    </xf>
    <xf numFmtId="0" fontId="19" fillId="0" borderId="13" xfId="2" applyFont="1" applyFill="1" applyBorder="1" applyAlignment="1">
      <alignment horizontal="center" vertical="center"/>
    </xf>
    <xf numFmtId="0" fontId="19" fillId="0" borderId="65" xfId="2" applyFont="1" applyFill="1" applyBorder="1" applyAlignment="1">
      <alignment horizontal="center" vertical="center"/>
    </xf>
    <xf numFmtId="0" fontId="6" fillId="0" borderId="10" xfId="0" applyFont="1" applyBorder="1" applyAlignment="1">
      <alignment vertical="top"/>
    </xf>
    <xf numFmtId="0" fontId="19" fillId="0" borderId="20" xfId="2" applyFont="1" applyBorder="1" applyAlignment="1">
      <alignment horizontal="center" vertical="top"/>
    </xf>
    <xf numFmtId="0" fontId="19" fillId="0" borderId="0" xfId="2" applyFont="1" applyBorder="1" applyAlignment="1">
      <alignment horizontal="center" vertical="top"/>
    </xf>
    <xf numFmtId="0" fontId="19" fillId="0" borderId="20" xfId="2" applyFont="1" applyFill="1" applyBorder="1" applyAlignment="1">
      <alignment horizontal="center" vertical="top"/>
    </xf>
    <xf numFmtId="0" fontId="6" fillId="2" borderId="20" xfId="0" applyFont="1" applyFill="1" applyBorder="1" applyAlignment="1">
      <alignment wrapText="1"/>
    </xf>
    <xf numFmtId="0" fontId="18" fillId="0" borderId="55" xfId="2" applyFont="1" applyBorder="1" applyAlignment="1">
      <alignment horizontal="center" vertical="top"/>
    </xf>
    <xf numFmtId="0" fontId="6" fillId="0" borderId="0" xfId="2" applyFont="1" applyFill="1" applyBorder="1" applyAlignment="1">
      <alignment horizontal="center" vertical="center"/>
    </xf>
    <xf numFmtId="49" fontId="19" fillId="0" borderId="53" xfId="2" applyNumberFormat="1" applyFont="1" applyBorder="1" applyAlignment="1">
      <alignment horizontal="left"/>
    </xf>
    <xf numFmtId="0" fontId="18" fillId="0" borderId="49" xfId="2" applyFont="1" applyBorder="1" applyAlignment="1">
      <alignment horizontal="center" vertical="center"/>
    </xf>
    <xf numFmtId="0" fontId="18" fillId="0" borderId="8" xfId="2" applyFont="1" applyBorder="1" applyAlignment="1">
      <alignment horizontal="center" vertical="center"/>
    </xf>
    <xf numFmtId="0" fontId="19" fillId="0" borderId="26" xfId="2" applyFont="1" applyBorder="1" applyAlignment="1">
      <alignment horizontal="left"/>
    </xf>
    <xf numFmtId="0" fontId="24" fillId="0" borderId="13" xfId="2" applyFont="1" applyFill="1" applyBorder="1" applyAlignment="1">
      <alignment horizontal="left" vertical="top" wrapText="1"/>
    </xf>
    <xf numFmtId="0" fontId="19" fillId="0" borderId="28" xfId="2" applyFont="1" applyBorder="1" applyAlignment="1">
      <alignment horizontal="center" vertical="center"/>
    </xf>
    <xf numFmtId="0" fontId="6" fillId="0" borderId="65" xfId="0" applyFont="1" applyBorder="1" applyAlignment="1">
      <alignment horizontal="center" vertical="center"/>
    </xf>
    <xf numFmtId="165" fontId="6" fillId="2" borderId="34" xfId="0" applyNumberFormat="1" applyFont="1" applyFill="1" applyBorder="1" applyAlignment="1">
      <alignment horizontal="center" vertical="top"/>
    </xf>
    <xf numFmtId="164" fontId="4" fillId="4" borderId="39" xfId="0" applyNumberFormat="1" applyFont="1" applyFill="1" applyBorder="1" applyAlignment="1">
      <alignment horizontal="center" vertical="top"/>
    </xf>
    <xf numFmtId="164" fontId="4" fillId="4" borderId="40" xfId="0" applyNumberFormat="1" applyFont="1" applyFill="1" applyBorder="1" applyAlignment="1">
      <alignment horizontal="center" vertical="top"/>
    </xf>
    <xf numFmtId="49" fontId="2" fillId="0" borderId="42" xfId="0" applyNumberFormat="1" applyFont="1" applyFill="1" applyBorder="1" applyAlignment="1">
      <alignment vertical="top" wrapText="1"/>
    </xf>
    <xf numFmtId="164" fontId="3" fillId="7" borderId="1" xfId="0" applyNumberFormat="1" applyFont="1" applyFill="1" applyBorder="1" applyAlignment="1">
      <alignment horizontal="center" vertical="top"/>
    </xf>
    <xf numFmtId="164" fontId="3" fillId="7" borderId="8" xfId="0" applyNumberFormat="1" applyFont="1" applyFill="1" applyBorder="1" applyAlignment="1">
      <alignment horizontal="center" vertical="top"/>
    </xf>
    <xf numFmtId="164" fontId="3" fillId="7" borderId="50" xfId="0" applyNumberFormat="1" applyFont="1" applyFill="1" applyBorder="1" applyAlignment="1">
      <alignment horizontal="center" vertical="top"/>
    </xf>
    <xf numFmtId="164" fontId="3" fillId="7" borderId="20" xfId="0" applyNumberFormat="1" applyFont="1" applyFill="1" applyBorder="1" applyAlignment="1">
      <alignment horizontal="center" vertical="top"/>
    </xf>
    <xf numFmtId="164" fontId="3" fillId="7" borderId="27" xfId="0" applyNumberFormat="1" applyFont="1" applyFill="1" applyBorder="1" applyAlignment="1">
      <alignment horizontal="center" vertical="top"/>
    </xf>
    <xf numFmtId="164" fontId="3" fillId="7" borderId="28" xfId="0" applyNumberFormat="1" applyFont="1" applyFill="1" applyBorder="1" applyAlignment="1">
      <alignment horizontal="center" vertical="top"/>
    </xf>
    <xf numFmtId="164" fontId="3" fillId="7" borderId="13" xfId="0" applyNumberFormat="1" applyFont="1" applyFill="1" applyBorder="1" applyAlignment="1">
      <alignment horizontal="center" vertical="top"/>
    </xf>
    <xf numFmtId="164" fontId="3" fillId="7" borderId="14" xfId="0" applyNumberFormat="1" applyFont="1" applyFill="1" applyBorder="1" applyAlignment="1">
      <alignment horizontal="center" vertical="top"/>
    </xf>
    <xf numFmtId="164" fontId="4" fillId="7" borderId="62" xfId="0" applyNumberFormat="1" applyFont="1" applyFill="1" applyBorder="1" applyAlignment="1">
      <alignment horizontal="center" vertical="top"/>
    </xf>
    <xf numFmtId="49" fontId="6" fillId="0" borderId="31" xfId="0" applyNumberFormat="1" applyFont="1" applyBorder="1" applyAlignment="1">
      <alignment horizontal="center" vertical="top" wrapText="1"/>
    </xf>
    <xf numFmtId="164" fontId="6" fillId="7" borderId="6" xfId="0" applyNumberFormat="1" applyFont="1" applyFill="1" applyBorder="1" applyAlignment="1">
      <alignment horizontal="center" vertical="top"/>
    </xf>
    <xf numFmtId="164" fontId="6" fillId="7" borderId="1" xfId="0" applyNumberFormat="1" applyFont="1" applyFill="1" applyBorder="1" applyAlignment="1">
      <alignment horizontal="center" vertical="top"/>
    </xf>
    <xf numFmtId="164" fontId="6" fillId="7" borderId="7" xfId="0" applyNumberFormat="1" applyFont="1" applyFill="1" applyBorder="1" applyAlignment="1">
      <alignment horizontal="center" vertical="top"/>
    </xf>
    <xf numFmtId="164" fontId="6" fillId="7" borderId="8" xfId="0" applyNumberFormat="1" applyFont="1" applyFill="1" applyBorder="1" applyAlignment="1">
      <alignment horizontal="center" vertical="top"/>
    </xf>
    <xf numFmtId="164" fontId="6" fillId="7" borderId="49" xfId="0" applyNumberFormat="1" applyFont="1" applyFill="1" applyBorder="1" applyAlignment="1">
      <alignment horizontal="center" vertical="top"/>
    </xf>
    <xf numFmtId="164" fontId="6" fillId="7" borderId="69" xfId="0" applyNumberFormat="1" applyFont="1" applyFill="1" applyBorder="1" applyAlignment="1">
      <alignment horizontal="center" vertical="top"/>
    </xf>
    <xf numFmtId="164" fontId="6" fillId="7" borderId="2" xfId="0" applyNumberFormat="1" applyFont="1" applyFill="1" applyBorder="1" applyAlignment="1">
      <alignment horizontal="center" vertical="top"/>
    </xf>
    <xf numFmtId="164" fontId="6" fillId="7" borderId="46" xfId="0" applyNumberFormat="1" applyFont="1" applyFill="1" applyBorder="1" applyAlignment="1">
      <alignment horizontal="center" vertical="top"/>
    </xf>
    <xf numFmtId="0" fontId="4" fillId="7" borderId="74" xfId="0" applyFont="1" applyFill="1" applyBorder="1" applyAlignment="1">
      <alignment horizontal="center" vertical="top" wrapText="1"/>
    </xf>
    <xf numFmtId="164" fontId="4" fillId="7" borderId="79" xfId="0" applyNumberFormat="1" applyFont="1" applyFill="1" applyBorder="1" applyAlignment="1">
      <alignment horizontal="center" vertical="top"/>
    </xf>
    <xf numFmtId="164" fontId="4" fillId="7" borderId="47" xfId="0" applyNumberFormat="1" applyFont="1" applyFill="1" applyBorder="1" applyAlignment="1">
      <alignment horizontal="center" vertical="top"/>
    </xf>
    <xf numFmtId="164" fontId="4" fillId="7" borderId="80" xfId="0" applyNumberFormat="1" applyFont="1" applyFill="1" applyBorder="1" applyAlignment="1">
      <alignment horizontal="center" vertical="top"/>
    </xf>
    <xf numFmtId="164" fontId="4" fillId="7" borderId="75" xfId="0" applyNumberFormat="1" applyFont="1" applyFill="1" applyBorder="1" applyAlignment="1">
      <alignment horizontal="center" vertical="top"/>
    </xf>
    <xf numFmtId="164" fontId="4" fillId="7" borderId="81" xfId="0" applyNumberFormat="1" applyFont="1" applyFill="1" applyBorder="1" applyAlignment="1">
      <alignment horizontal="center" vertical="top"/>
    </xf>
    <xf numFmtId="164" fontId="7" fillId="7" borderId="79" xfId="0" applyNumberFormat="1" applyFont="1" applyFill="1" applyBorder="1" applyAlignment="1">
      <alignment horizontal="center" vertical="top"/>
    </xf>
    <xf numFmtId="164" fontId="7" fillId="7" borderId="47" xfId="0" applyNumberFormat="1" applyFont="1" applyFill="1" applyBorder="1" applyAlignment="1">
      <alignment horizontal="center" vertical="top"/>
    </xf>
    <xf numFmtId="164" fontId="7" fillId="7" borderId="80" xfId="0" applyNumberFormat="1" applyFont="1" applyFill="1" applyBorder="1" applyAlignment="1">
      <alignment horizontal="center" vertical="top"/>
    </xf>
    <xf numFmtId="164" fontId="4" fillId="7" borderId="74" xfId="0" applyNumberFormat="1" applyFont="1" applyFill="1" applyBorder="1" applyAlignment="1">
      <alignment horizontal="center" vertical="top"/>
    </xf>
    <xf numFmtId="164" fontId="6" fillId="7" borderId="9" xfId="0" applyNumberFormat="1" applyFont="1" applyFill="1" applyBorder="1" applyAlignment="1">
      <alignment horizontal="center" vertical="top"/>
    </xf>
    <xf numFmtId="164" fontId="6" fillId="7" borderId="58" xfId="0" applyNumberFormat="1" applyFont="1" applyFill="1" applyBorder="1" applyAlignment="1">
      <alignment horizontal="center" vertical="top"/>
    </xf>
    <xf numFmtId="164" fontId="6" fillId="7" borderId="24" xfId="0" applyNumberFormat="1" applyFont="1" applyFill="1" applyBorder="1" applyAlignment="1">
      <alignment horizontal="center" vertical="top"/>
    </xf>
    <xf numFmtId="0" fontId="7" fillId="7" borderId="74" xfId="0" applyFont="1" applyFill="1" applyBorder="1" applyAlignment="1">
      <alignment horizontal="center" vertical="top" wrapText="1"/>
    </xf>
    <xf numFmtId="164" fontId="7" fillId="7" borderId="81" xfId="0" applyNumberFormat="1" applyFont="1" applyFill="1" applyBorder="1" applyAlignment="1">
      <alignment horizontal="center" vertical="top"/>
    </xf>
    <xf numFmtId="164" fontId="7" fillId="7" borderId="75" xfId="0" applyNumberFormat="1" applyFont="1" applyFill="1" applyBorder="1" applyAlignment="1">
      <alignment horizontal="center" vertical="top"/>
    </xf>
    <xf numFmtId="164" fontId="6" fillId="7" borderId="0" xfId="0" applyNumberFormat="1" applyFont="1" applyFill="1" applyBorder="1" applyAlignment="1">
      <alignment horizontal="center" vertical="top"/>
    </xf>
    <xf numFmtId="164" fontId="6" fillId="7" borderId="20" xfId="0" applyNumberFormat="1" applyFont="1" applyFill="1" applyBorder="1" applyAlignment="1">
      <alignment horizontal="center" vertical="top"/>
    </xf>
    <xf numFmtId="164" fontId="6" fillId="7" borderId="56" xfId="0" applyNumberFormat="1" applyFont="1" applyFill="1" applyBorder="1" applyAlignment="1">
      <alignment horizontal="center" vertical="top"/>
    </xf>
    <xf numFmtId="164" fontId="6" fillId="7" borderId="12" xfId="0" applyNumberFormat="1" applyFont="1" applyFill="1" applyBorder="1" applyAlignment="1">
      <alignment horizontal="center" vertical="top"/>
    </xf>
    <xf numFmtId="164" fontId="6" fillId="7" borderId="13" xfId="0" applyNumberFormat="1" applyFont="1" applyFill="1" applyBorder="1" applyAlignment="1">
      <alignment horizontal="center" vertical="top"/>
    </xf>
    <xf numFmtId="0" fontId="7" fillId="7" borderId="80" xfId="0" applyFont="1" applyFill="1" applyBorder="1" applyAlignment="1">
      <alignment horizontal="center" vertical="top" wrapText="1"/>
    </xf>
    <xf numFmtId="164" fontId="4" fillId="7" borderId="77" xfId="0" applyNumberFormat="1" applyFont="1" applyFill="1" applyBorder="1" applyAlignment="1">
      <alignment horizontal="center" vertical="top"/>
    </xf>
    <xf numFmtId="0" fontId="4" fillId="7" borderId="77" xfId="0" applyFont="1" applyFill="1" applyBorder="1" applyAlignment="1">
      <alignment horizontal="center" vertical="top" wrapText="1"/>
    </xf>
    <xf numFmtId="49" fontId="6" fillId="0" borderId="42" xfId="0" applyNumberFormat="1" applyFont="1" applyBorder="1" applyAlignment="1">
      <alignment wrapText="1"/>
    </xf>
    <xf numFmtId="0" fontId="6" fillId="0" borderId="42" xfId="0" applyFont="1" applyBorder="1" applyAlignment="1">
      <alignment wrapText="1"/>
    </xf>
    <xf numFmtId="49" fontId="4" fillId="4" borderId="6" xfId="0" applyNumberFormat="1" applyFont="1" applyFill="1" applyBorder="1" applyAlignment="1">
      <alignment horizontal="center" vertical="top"/>
    </xf>
    <xf numFmtId="0" fontId="7" fillId="7" borderId="44" xfId="0" applyFont="1" applyFill="1" applyBorder="1" applyAlignment="1">
      <alignment vertical="center" wrapText="1"/>
    </xf>
    <xf numFmtId="164" fontId="7" fillId="7" borderId="36" xfId="0" applyNumberFormat="1" applyFont="1" applyFill="1" applyBorder="1" applyAlignment="1">
      <alignment horizontal="center" vertical="top" wrapText="1"/>
    </xf>
    <xf numFmtId="164" fontId="7" fillId="7" borderId="52" xfId="0" applyNumberFormat="1" applyFont="1" applyFill="1" applyBorder="1" applyAlignment="1">
      <alignment horizontal="center" vertical="top" wrapText="1"/>
    </xf>
    <xf numFmtId="164" fontId="7" fillId="7" borderId="58" xfId="0" applyNumberFormat="1" applyFont="1" applyFill="1" applyBorder="1" applyAlignment="1">
      <alignment horizontal="center" vertical="top" wrapText="1"/>
    </xf>
    <xf numFmtId="164" fontId="6" fillId="7" borderId="36" xfId="0" applyNumberFormat="1" applyFont="1" applyFill="1" applyBorder="1" applyAlignment="1">
      <alignment horizontal="center" vertical="top" wrapText="1"/>
    </xf>
    <xf numFmtId="164" fontId="6" fillId="7" borderId="10" xfId="0" applyNumberFormat="1" applyFont="1" applyFill="1" applyBorder="1" applyAlignment="1">
      <alignment horizontal="center" vertical="top" wrapText="1"/>
    </xf>
    <xf numFmtId="164" fontId="6" fillId="7" borderId="36" xfId="0" applyNumberFormat="1" applyFont="1" applyFill="1" applyBorder="1" applyAlignment="1">
      <alignment horizontal="center" vertical="top"/>
    </xf>
    <xf numFmtId="164" fontId="6" fillId="7" borderId="51" xfId="0" applyNumberFormat="1" applyFont="1" applyFill="1" applyBorder="1" applyAlignment="1">
      <alignment horizontal="center" vertical="top" wrapText="1"/>
    </xf>
    <xf numFmtId="0" fontId="6" fillId="0" borderId="44" xfId="0" applyFont="1" applyBorder="1" applyAlignment="1">
      <alignment horizontal="left" vertical="top" wrapText="1" indent="1"/>
    </xf>
    <xf numFmtId="0" fontId="6" fillId="0" borderId="59" xfId="0" applyFont="1" applyBorder="1" applyAlignment="1">
      <alignment horizontal="left" vertical="top" wrapText="1" indent="1"/>
    </xf>
    <xf numFmtId="0" fontId="6" fillId="0" borderId="44" xfId="0" applyFont="1" applyBorder="1" applyAlignment="1">
      <alignment horizontal="left" vertical="top" wrapText="1" indent="2"/>
    </xf>
    <xf numFmtId="0" fontId="6" fillId="0" borderId="69" xfId="0" applyFont="1" applyBorder="1" applyAlignment="1">
      <alignment horizontal="left" vertical="top" wrapText="1" indent="1"/>
    </xf>
    <xf numFmtId="0" fontId="6" fillId="0" borderId="29" xfId="0" applyFont="1" applyBorder="1" applyAlignment="1">
      <alignment horizontal="left" vertical="top" wrapText="1" indent="1"/>
    </xf>
    <xf numFmtId="164" fontId="3" fillId="7" borderId="22" xfId="0" applyNumberFormat="1" applyFont="1" applyFill="1" applyBorder="1" applyAlignment="1">
      <alignment horizontal="center" vertical="top"/>
    </xf>
    <xf numFmtId="164" fontId="3" fillId="7" borderId="7" xfId="0" applyNumberFormat="1" applyFont="1" applyFill="1" applyBorder="1" applyAlignment="1">
      <alignment horizontal="center" vertical="top"/>
    </xf>
    <xf numFmtId="164" fontId="3" fillId="7" borderId="48" xfId="0" applyNumberFormat="1" applyFont="1" applyFill="1" applyBorder="1" applyAlignment="1">
      <alignment horizontal="center" vertical="top"/>
    </xf>
    <xf numFmtId="164" fontId="3" fillId="7" borderId="31" xfId="0" applyNumberFormat="1" applyFont="1" applyFill="1" applyBorder="1" applyAlignment="1">
      <alignment horizontal="center" vertical="top"/>
    </xf>
    <xf numFmtId="164" fontId="3" fillId="7" borderId="42" xfId="0" applyNumberFormat="1" applyFont="1" applyFill="1" applyBorder="1" applyAlignment="1">
      <alignment horizontal="center" vertical="top"/>
    </xf>
    <xf numFmtId="164" fontId="4" fillId="7" borderId="59" xfId="0" applyNumberFormat="1" applyFont="1" applyFill="1" applyBorder="1" applyAlignment="1">
      <alignment horizontal="center" vertical="top"/>
    </xf>
    <xf numFmtId="164" fontId="4" fillId="7" borderId="60" xfId="0" applyNumberFormat="1" applyFont="1" applyFill="1" applyBorder="1" applyAlignment="1">
      <alignment horizontal="center" vertical="top"/>
    </xf>
    <xf numFmtId="164" fontId="6" fillId="7" borderId="18" xfId="0" applyNumberFormat="1" applyFont="1" applyFill="1" applyBorder="1" applyAlignment="1">
      <alignment horizontal="center" vertical="top"/>
    </xf>
    <xf numFmtId="164" fontId="4" fillId="3" borderId="6"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164" fontId="4" fillId="3" borderId="19" xfId="0" applyNumberFormat="1" applyFont="1" applyFill="1" applyBorder="1" applyAlignment="1">
      <alignment horizontal="center" vertical="top"/>
    </xf>
    <xf numFmtId="164" fontId="4" fillId="3" borderId="7" xfId="0" applyNumberFormat="1" applyFont="1" applyFill="1" applyBorder="1" applyAlignment="1">
      <alignment horizontal="center" vertical="top"/>
    </xf>
    <xf numFmtId="49" fontId="4" fillId="3" borderId="22" xfId="0" applyNumberFormat="1" applyFont="1" applyFill="1" applyBorder="1" applyAlignment="1">
      <alignment horizontal="center" vertical="top"/>
    </xf>
    <xf numFmtId="49" fontId="4" fillId="5" borderId="62" xfId="0" applyNumberFormat="1" applyFont="1" applyFill="1" applyBorder="1" applyAlignment="1">
      <alignment horizontal="center" vertical="top"/>
    </xf>
    <xf numFmtId="164" fontId="10" fillId="5" borderId="51" xfId="0" applyNumberFormat="1" applyFont="1" applyFill="1" applyBorder="1" applyAlignment="1">
      <alignment horizontal="center" vertical="top"/>
    </xf>
    <xf numFmtId="49" fontId="4" fillId="4" borderId="24" xfId="0" applyNumberFormat="1" applyFont="1" applyFill="1" applyBorder="1" applyAlignment="1">
      <alignment horizontal="center" vertical="top"/>
    </xf>
    <xf numFmtId="164" fontId="10" fillId="4" borderId="24" xfId="0" applyNumberFormat="1" applyFont="1" applyFill="1" applyBorder="1" applyAlignment="1">
      <alignment horizontal="center" vertical="top"/>
    </xf>
    <xf numFmtId="164" fontId="10" fillId="4" borderId="2" xfId="0" applyNumberFormat="1" applyFont="1" applyFill="1" applyBorder="1" applyAlignment="1">
      <alignment horizontal="center" vertical="top"/>
    </xf>
    <xf numFmtId="164" fontId="10" fillId="4" borderId="4" xfId="0" applyNumberFormat="1" applyFont="1" applyFill="1" applyBorder="1" applyAlignment="1">
      <alignment horizontal="center" vertical="top"/>
    </xf>
    <xf numFmtId="164" fontId="10" fillId="4" borderId="25" xfId="0" applyNumberFormat="1" applyFont="1" applyFill="1" applyBorder="1" applyAlignment="1">
      <alignment horizontal="center" vertical="top"/>
    </xf>
    <xf numFmtId="164" fontId="6" fillId="0" borderId="55" xfId="0" applyNumberFormat="1" applyFont="1" applyBorder="1" applyAlignment="1">
      <alignment horizontal="center" vertical="top" wrapText="1"/>
    </xf>
    <xf numFmtId="164" fontId="6" fillId="7" borderId="11" xfId="0" applyNumberFormat="1" applyFont="1" applyFill="1" applyBorder="1" applyAlignment="1">
      <alignment horizontal="center" vertical="top" wrapText="1"/>
    </xf>
    <xf numFmtId="164" fontId="6" fillId="0" borderId="56" xfId="0" applyNumberFormat="1" applyFont="1" applyBorder="1" applyAlignment="1">
      <alignment horizontal="center" vertical="top" wrapText="1"/>
    </xf>
    <xf numFmtId="0" fontId="7" fillId="7" borderId="69" xfId="0" applyFont="1" applyFill="1" applyBorder="1" applyAlignment="1">
      <alignment vertical="center" wrapText="1"/>
    </xf>
    <xf numFmtId="164" fontId="7" fillId="7" borderId="10" xfId="0" applyNumberFormat="1" applyFont="1" applyFill="1" applyBorder="1" applyAlignment="1">
      <alignment horizontal="center" vertical="top" wrapText="1"/>
    </xf>
    <xf numFmtId="0" fontId="7" fillId="5" borderId="69" xfId="0" applyFont="1" applyFill="1" applyBorder="1" applyAlignment="1">
      <alignment vertical="center" wrapText="1"/>
    </xf>
    <xf numFmtId="164" fontId="7" fillId="5" borderId="10" xfId="0" applyNumberFormat="1" applyFont="1" applyFill="1" applyBorder="1" applyAlignment="1">
      <alignment horizontal="center" vertical="top" wrapText="1"/>
    </xf>
    <xf numFmtId="0" fontId="7" fillId="5" borderId="69" xfId="0" applyFont="1" applyFill="1" applyBorder="1" applyAlignment="1">
      <alignment vertical="top" wrapText="1"/>
    </xf>
    <xf numFmtId="164" fontId="4" fillId="7" borderId="83" xfId="0" applyNumberFormat="1" applyFont="1" applyFill="1" applyBorder="1" applyAlignment="1">
      <alignment horizontal="center" vertical="top"/>
    </xf>
    <xf numFmtId="164" fontId="6" fillId="7" borderId="21" xfId="0" applyNumberFormat="1" applyFont="1" applyFill="1" applyBorder="1" applyAlignment="1">
      <alignment horizontal="center" vertical="top"/>
    </xf>
    <xf numFmtId="164" fontId="6" fillId="7" borderId="3" xfId="0" applyNumberFormat="1" applyFont="1" applyFill="1" applyBorder="1" applyAlignment="1">
      <alignment horizontal="center" vertical="top"/>
    </xf>
    <xf numFmtId="164" fontId="6" fillId="7" borderId="4" xfId="0" applyNumberFormat="1" applyFont="1" applyFill="1" applyBorder="1" applyAlignment="1">
      <alignment horizontal="center" vertical="top"/>
    </xf>
    <xf numFmtId="164" fontId="6" fillId="7" borderId="28" xfId="0" applyNumberFormat="1" applyFont="1" applyFill="1" applyBorder="1" applyAlignment="1">
      <alignment horizontal="center" vertical="top"/>
    </xf>
    <xf numFmtId="164" fontId="6" fillId="7" borderId="26" xfId="0" applyNumberFormat="1" applyFont="1" applyFill="1" applyBorder="1" applyAlignment="1">
      <alignment horizontal="center" vertical="top"/>
    </xf>
    <xf numFmtId="164" fontId="6" fillId="7" borderId="25" xfId="0" applyNumberFormat="1" applyFont="1" applyFill="1" applyBorder="1" applyAlignment="1">
      <alignment horizontal="center" vertical="top"/>
    </xf>
    <xf numFmtId="164" fontId="7" fillId="7" borderId="76" xfId="0" applyNumberFormat="1" applyFont="1" applyFill="1" applyBorder="1" applyAlignment="1">
      <alignment horizontal="center" vertical="top"/>
    </xf>
    <xf numFmtId="164" fontId="3" fillId="7" borderId="6" xfId="0" applyNumberFormat="1" applyFont="1" applyFill="1" applyBorder="1" applyAlignment="1">
      <alignment horizontal="center" vertical="top"/>
    </xf>
    <xf numFmtId="164" fontId="3" fillId="7" borderId="18" xfId="0" applyNumberFormat="1" applyFont="1" applyFill="1" applyBorder="1" applyAlignment="1">
      <alignment horizontal="center" vertical="top"/>
    </xf>
    <xf numFmtId="164" fontId="4" fillId="7" borderId="76" xfId="0" applyNumberFormat="1" applyFont="1" applyFill="1" applyBorder="1" applyAlignment="1">
      <alignment horizontal="center" vertical="top"/>
    </xf>
    <xf numFmtId="164" fontId="7" fillId="7" borderId="74" xfId="0" applyNumberFormat="1" applyFont="1" applyFill="1" applyBorder="1" applyAlignment="1">
      <alignment horizontal="center" vertical="top"/>
    </xf>
    <xf numFmtId="164" fontId="3" fillId="7" borderId="19" xfId="0" applyNumberFormat="1" applyFont="1" applyFill="1" applyBorder="1" applyAlignment="1">
      <alignment horizontal="center" vertical="top"/>
    </xf>
    <xf numFmtId="164" fontId="3" fillId="7" borderId="3" xfId="0" applyNumberFormat="1" applyFont="1" applyFill="1" applyBorder="1" applyAlignment="1">
      <alignment horizontal="center" vertical="top"/>
    </xf>
    <xf numFmtId="164" fontId="3" fillId="7" borderId="2" xfId="0" applyNumberFormat="1" applyFont="1" applyFill="1" applyBorder="1" applyAlignment="1">
      <alignment horizontal="center" vertical="top"/>
    </xf>
    <xf numFmtId="164" fontId="3" fillId="7" borderId="26" xfId="0" applyNumberFormat="1" applyFont="1" applyFill="1" applyBorder="1" applyAlignment="1">
      <alignment horizontal="center" vertical="top"/>
    </xf>
    <xf numFmtId="164" fontId="3" fillId="7" borderId="65" xfId="0" applyNumberFormat="1" applyFont="1" applyFill="1" applyBorder="1" applyAlignment="1">
      <alignment horizontal="center" vertical="top"/>
    </xf>
    <xf numFmtId="164" fontId="3" fillId="7" borderId="54" xfId="0" applyNumberFormat="1" applyFont="1" applyFill="1" applyBorder="1" applyAlignment="1">
      <alignment horizontal="center" vertical="top"/>
    </xf>
    <xf numFmtId="164" fontId="3" fillId="7" borderId="24" xfId="0" applyNumberFormat="1" applyFont="1" applyFill="1" applyBorder="1" applyAlignment="1">
      <alignment horizontal="center" vertical="top"/>
    </xf>
    <xf numFmtId="164" fontId="3" fillId="7" borderId="46" xfId="0" applyNumberFormat="1" applyFont="1" applyFill="1" applyBorder="1" applyAlignment="1">
      <alignment horizontal="center" vertical="top"/>
    </xf>
    <xf numFmtId="164" fontId="3" fillId="7" borderId="12" xfId="0" applyNumberFormat="1" applyFont="1" applyFill="1" applyBorder="1" applyAlignment="1">
      <alignment horizontal="center" vertical="top"/>
    </xf>
    <xf numFmtId="164" fontId="6" fillId="7" borderId="33" xfId="0" applyNumberFormat="1" applyFont="1" applyFill="1" applyBorder="1" applyAlignment="1">
      <alignment horizontal="center" vertical="top"/>
    </xf>
    <xf numFmtId="164" fontId="6" fillId="7" borderId="31" xfId="0" applyNumberFormat="1" applyFont="1" applyFill="1" applyBorder="1" applyAlignment="1">
      <alignment horizontal="center" vertical="top"/>
    </xf>
    <xf numFmtId="164" fontId="6" fillId="7" borderId="32" xfId="0" applyNumberFormat="1" applyFont="1" applyFill="1" applyBorder="1" applyAlignment="1">
      <alignment horizontal="center" vertical="top"/>
    </xf>
    <xf numFmtId="164" fontId="7" fillId="7" borderId="83" xfId="0" applyNumberFormat="1" applyFont="1" applyFill="1" applyBorder="1" applyAlignment="1">
      <alignment horizontal="center" vertical="top"/>
    </xf>
    <xf numFmtId="164" fontId="3" fillId="7" borderId="29" xfId="0" applyNumberFormat="1" applyFont="1" applyFill="1" applyBorder="1" applyAlignment="1">
      <alignment horizontal="center" vertical="top"/>
    </xf>
    <xf numFmtId="164" fontId="3" fillId="7" borderId="0" xfId="0" applyNumberFormat="1" applyFont="1" applyFill="1" applyBorder="1" applyAlignment="1">
      <alignment horizontal="center" vertical="top"/>
    </xf>
    <xf numFmtId="0" fontId="7" fillId="7" borderId="79" xfId="0" applyFont="1" applyFill="1" applyBorder="1" applyAlignment="1">
      <alignment horizontal="center" vertical="top" wrapText="1"/>
    </xf>
    <xf numFmtId="0" fontId="4" fillId="7" borderId="79" xfId="0" applyFont="1" applyFill="1" applyBorder="1" applyAlignment="1">
      <alignment horizontal="center" vertical="top" wrapText="1"/>
    </xf>
    <xf numFmtId="164" fontId="6" fillId="7" borderId="14" xfId="0" applyNumberFormat="1" applyFont="1" applyFill="1" applyBorder="1" applyAlignment="1">
      <alignment horizontal="center" vertical="top"/>
    </xf>
    <xf numFmtId="164" fontId="6" fillId="7" borderId="27" xfId="0" applyNumberFormat="1" applyFont="1" applyFill="1" applyBorder="1" applyAlignment="1">
      <alignment horizontal="center" vertical="top"/>
    </xf>
    <xf numFmtId="0" fontId="7" fillId="7" borderId="0" xfId="0" applyFont="1" applyFill="1" applyBorder="1" applyAlignment="1">
      <alignment horizontal="center" vertical="top" wrapText="1"/>
    </xf>
    <xf numFmtId="164" fontId="7" fillId="7" borderId="77" xfId="0" applyNumberFormat="1" applyFont="1" applyFill="1" applyBorder="1" applyAlignment="1">
      <alignment horizontal="center" vertical="top"/>
    </xf>
    <xf numFmtId="0" fontId="6" fillId="7" borderId="3" xfId="0" applyFont="1" applyFill="1" applyBorder="1" applyAlignment="1">
      <alignment vertical="top"/>
    </xf>
    <xf numFmtId="0" fontId="6" fillId="7" borderId="2" xfId="0" applyFont="1" applyFill="1" applyBorder="1" applyAlignment="1">
      <alignment vertical="top"/>
    </xf>
    <xf numFmtId="0" fontId="6" fillId="7" borderId="4" xfId="0" applyFont="1" applyFill="1" applyBorder="1" applyAlignment="1">
      <alignment vertical="top"/>
    </xf>
    <xf numFmtId="164" fontId="3" fillId="7" borderId="21" xfId="0" applyNumberFormat="1" applyFont="1" applyFill="1" applyBorder="1" applyAlignment="1">
      <alignment horizontal="center" vertical="top"/>
    </xf>
    <xf numFmtId="164" fontId="3" fillId="7" borderId="56" xfId="0" applyNumberFormat="1" applyFont="1" applyFill="1" applyBorder="1" applyAlignment="1">
      <alignment horizontal="center" vertical="top"/>
    </xf>
    <xf numFmtId="164" fontId="7" fillId="7" borderId="45" xfId="0" applyNumberFormat="1"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65" xfId="0" applyNumberFormat="1" applyFont="1" applyFill="1" applyBorder="1" applyAlignment="1">
      <alignment horizontal="center" vertical="top"/>
    </xf>
    <xf numFmtId="164" fontId="7" fillId="7" borderId="14" xfId="0" applyNumberFormat="1" applyFont="1" applyFill="1" applyBorder="1" applyAlignment="1">
      <alignment horizontal="center" vertical="top"/>
    </xf>
    <xf numFmtId="164" fontId="3" fillId="7" borderId="37" xfId="0" applyNumberFormat="1" applyFont="1" applyFill="1" applyBorder="1" applyAlignment="1">
      <alignment horizontal="center" vertical="top"/>
    </xf>
    <xf numFmtId="164" fontId="3" fillId="7" borderId="67" xfId="0" applyNumberFormat="1" applyFont="1" applyFill="1" applyBorder="1" applyAlignment="1">
      <alignment horizontal="center" vertical="top"/>
    </xf>
    <xf numFmtId="164" fontId="6" fillId="7" borderId="37" xfId="0" applyNumberFormat="1" applyFont="1" applyFill="1" applyBorder="1" applyAlignment="1">
      <alignment horizontal="center" vertical="top"/>
    </xf>
    <xf numFmtId="164" fontId="6" fillId="7" borderId="42" xfId="0" applyNumberFormat="1" applyFont="1" applyFill="1" applyBorder="1" applyAlignment="1">
      <alignment horizontal="center" vertical="top"/>
    </xf>
    <xf numFmtId="164" fontId="4" fillId="7" borderId="31" xfId="0" applyNumberFormat="1" applyFont="1" applyFill="1" applyBorder="1" applyAlignment="1">
      <alignment horizontal="center" vertical="top"/>
    </xf>
    <xf numFmtId="164" fontId="4" fillId="7" borderId="42" xfId="0" applyNumberFormat="1" applyFont="1" applyFill="1" applyBorder="1" applyAlignment="1">
      <alignment horizontal="center" vertical="top"/>
    </xf>
    <xf numFmtId="164" fontId="3" fillId="7" borderId="44" xfId="0" applyNumberFormat="1" applyFont="1" applyFill="1" applyBorder="1" applyAlignment="1">
      <alignment horizontal="center" vertical="top"/>
    </xf>
    <xf numFmtId="164" fontId="3" fillId="7" borderId="49" xfId="0" applyNumberFormat="1" applyFont="1" applyFill="1" applyBorder="1" applyAlignment="1">
      <alignment horizontal="center" vertical="top"/>
    </xf>
    <xf numFmtId="164" fontId="6" fillId="7" borderId="55" xfId="0" applyNumberFormat="1" applyFont="1" applyFill="1" applyBorder="1" applyAlignment="1">
      <alignment horizontal="center" vertical="top"/>
    </xf>
    <xf numFmtId="164" fontId="7" fillId="7" borderId="70" xfId="0" applyNumberFormat="1" applyFont="1" applyFill="1" applyBorder="1" applyAlignment="1">
      <alignment horizontal="center" vertical="top"/>
    </xf>
    <xf numFmtId="164" fontId="7" fillId="7" borderId="60" xfId="0" applyNumberFormat="1" applyFont="1" applyFill="1" applyBorder="1" applyAlignment="1">
      <alignment horizontal="center" vertical="top"/>
    </xf>
    <xf numFmtId="164" fontId="7" fillId="7" borderId="61" xfId="0" applyNumberFormat="1" applyFont="1" applyFill="1" applyBorder="1" applyAlignment="1">
      <alignment horizontal="center" vertical="top"/>
    </xf>
    <xf numFmtId="164" fontId="7" fillId="7" borderId="68" xfId="0" applyNumberFormat="1" applyFont="1" applyFill="1" applyBorder="1" applyAlignment="1">
      <alignment horizontal="center" vertical="top"/>
    </xf>
    <xf numFmtId="164" fontId="4" fillId="7" borderId="61" xfId="0" applyNumberFormat="1" applyFont="1" applyFill="1" applyBorder="1" applyAlignment="1">
      <alignment horizontal="center" vertical="top"/>
    </xf>
    <xf numFmtId="2" fontId="4" fillId="7" borderId="74" xfId="0" applyNumberFormat="1" applyFont="1" applyFill="1" applyBorder="1" applyAlignment="1">
      <alignment horizontal="center" vertical="top"/>
    </xf>
    <xf numFmtId="2" fontId="6" fillId="7" borderId="29" xfId="0" applyNumberFormat="1" applyFont="1" applyFill="1" applyBorder="1" applyAlignment="1">
      <alignment horizontal="center" vertical="top"/>
    </xf>
    <xf numFmtId="2" fontId="6" fillId="7" borderId="44" xfId="0" applyNumberFormat="1" applyFont="1" applyFill="1" applyBorder="1" applyAlignment="1">
      <alignment horizontal="center" vertical="top"/>
    </xf>
    <xf numFmtId="164" fontId="6" fillId="7" borderId="53" xfId="0" applyNumberFormat="1" applyFont="1" applyFill="1" applyBorder="1" applyAlignment="1">
      <alignment horizontal="center" vertical="top"/>
    </xf>
    <xf numFmtId="164" fontId="6" fillId="7" borderId="50" xfId="0" applyNumberFormat="1" applyFont="1" applyFill="1" applyBorder="1" applyAlignment="1">
      <alignment horizontal="center" vertical="top"/>
    </xf>
    <xf numFmtId="164" fontId="3" fillId="7" borderId="32" xfId="0" applyNumberFormat="1" applyFont="1" applyFill="1" applyBorder="1" applyAlignment="1">
      <alignment horizontal="center" vertical="top"/>
    </xf>
    <xf numFmtId="164" fontId="7" fillId="7" borderId="0" xfId="0" applyNumberFormat="1" applyFont="1" applyFill="1" applyBorder="1" applyAlignment="1">
      <alignment horizontal="center" vertical="top"/>
    </xf>
    <xf numFmtId="164" fontId="7" fillId="7" borderId="20" xfId="0" applyNumberFormat="1" applyFont="1" applyFill="1" applyBorder="1" applyAlignment="1">
      <alignment horizontal="center" vertical="top"/>
    </xf>
    <xf numFmtId="164" fontId="4" fillId="7" borderId="12" xfId="0" applyNumberFormat="1" applyFont="1" applyFill="1" applyBorder="1" applyAlignment="1">
      <alignment horizontal="center" vertical="top"/>
    </xf>
    <xf numFmtId="164" fontId="4" fillId="7" borderId="13" xfId="0" applyNumberFormat="1" applyFont="1" applyFill="1" applyBorder="1" applyAlignment="1">
      <alignment horizontal="center" vertical="top"/>
    </xf>
    <xf numFmtId="164" fontId="4" fillId="7" borderId="14" xfId="0" applyNumberFormat="1" applyFont="1" applyFill="1" applyBorder="1" applyAlignment="1">
      <alignment horizontal="center" vertical="top"/>
    </xf>
    <xf numFmtId="164" fontId="4" fillId="7" borderId="26" xfId="0" applyNumberFormat="1" applyFont="1" applyFill="1" applyBorder="1" applyAlignment="1">
      <alignment horizontal="center" vertical="top"/>
    </xf>
    <xf numFmtId="164" fontId="4" fillId="7" borderId="11" xfId="0" applyNumberFormat="1" applyFont="1" applyFill="1" applyBorder="1" applyAlignment="1">
      <alignment horizontal="center" vertical="top"/>
    </xf>
    <xf numFmtId="0" fontId="6" fillId="0" borderId="18" xfId="0" applyFont="1" applyFill="1" applyBorder="1" applyAlignment="1">
      <alignment horizontal="center" vertical="top" wrapText="1"/>
    </xf>
    <xf numFmtId="0" fontId="6" fillId="0" borderId="33" xfId="0" applyFont="1" applyFill="1" applyBorder="1" applyAlignment="1">
      <alignment horizontal="center" vertical="top" textRotation="180" wrapText="1"/>
    </xf>
    <xf numFmtId="0" fontId="6" fillId="0" borderId="18" xfId="0" applyFont="1" applyFill="1" applyBorder="1" applyAlignment="1">
      <alignment horizontal="center" vertical="top" textRotation="180" wrapText="1"/>
    </xf>
    <xf numFmtId="0" fontId="6" fillId="0" borderId="62" xfId="0" applyFont="1" applyFill="1" applyBorder="1" applyAlignment="1">
      <alignment horizontal="center" vertical="top" textRotation="180" wrapText="1"/>
    </xf>
    <xf numFmtId="49" fontId="6" fillId="0" borderId="20" xfId="0" applyNumberFormat="1" applyFont="1" applyBorder="1" applyAlignment="1">
      <alignment horizontal="center" vertical="top" wrapText="1"/>
    </xf>
    <xf numFmtId="49" fontId="6" fillId="0" borderId="20" xfId="0" applyNumberFormat="1" applyFont="1" applyBorder="1" applyAlignment="1">
      <alignment horizontal="center" vertical="top"/>
    </xf>
    <xf numFmtId="49" fontId="6" fillId="0" borderId="60" xfId="0" applyNumberFormat="1" applyFont="1" applyBorder="1" applyAlignment="1">
      <alignment horizontal="center" vertical="top"/>
    </xf>
    <xf numFmtId="0" fontId="6" fillId="0" borderId="33" xfId="0" applyFont="1" applyFill="1" applyBorder="1" applyAlignment="1">
      <alignment vertical="top" wrapText="1"/>
    </xf>
    <xf numFmtId="0" fontId="6" fillId="0" borderId="18" xfId="0" applyFont="1" applyFill="1" applyBorder="1" applyAlignment="1">
      <alignment vertical="top" wrapText="1"/>
    </xf>
    <xf numFmtId="0" fontId="6" fillId="0" borderId="62" xfId="0" applyFont="1" applyFill="1" applyBorder="1" applyAlignment="1">
      <alignment vertical="top" wrapText="1"/>
    </xf>
    <xf numFmtId="49" fontId="3" fillId="0" borderId="20" xfId="0" applyNumberFormat="1" applyFont="1" applyBorder="1" applyAlignment="1">
      <alignment horizontal="center" vertical="top" wrapText="1"/>
    </xf>
    <xf numFmtId="49" fontId="6" fillId="0" borderId="31" xfId="0" applyNumberFormat="1" applyFont="1" applyBorder="1" applyAlignment="1">
      <alignment vertical="top" wrapText="1"/>
    </xf>
    <xf numFmtId="49" fontId="6" fillId="0" borderId="20" xfId="0" applyNumberFormat="1" applyFont="1" applyBorder="1" applyAlignment="1">
      <alignment vertical="top" wrapText="1"/>
    </xf>
    <xf numFmtId="49" fontId="6" fillId="0" borderId="60" xfId="0" applyNumberFormat="1" applyFont="1" applyBorder="1" applyAlignment="1">
      <alignment vertical="top" wrapText="1"/>
    </xf>
    <xf numFmtId="0" fontId="3" fillId="0" borderId="18" xfId="0" applyFont="1" applyFill="1" applyBorder="1" applyAlignment="1">
      <alignment horizontal="center" vertical="top" textRotation="180" wrapText="1"/>
    </xf>
    <xf numFmtId="0" fontId="3" fillId="0" borderId="18" xfId="0" applyFont="1" applyFill="1" applyBorder="1" applyAlignment="1">
      <alignment horizontal="center" vertical="top" textRotation="90" wrapText="1"/>
    </xf>
    <xf numFmtId="49" fontId="6" fillId="0" borderId="20" xfId="0" applyNumberFormat="1" applyFont="1" applyFill="1" applyBorder="1" applyAlignment="1">
      <alignment horizontal="center" vertical="top" wrapText="1"/>
    </xf>
    <xf numFmtId="49" fontId="3" fillId="0" borderId="20" xfId="0" applyNumberFormat="1" applyFont="1" applyFill="1" applyBorder="1" applyAlignment="1">
      <alignment horizontal="center" vertical="top" wrapText="1"/>
    </xf>
    <xf numFmtId="0" fontId="6" fillId="2" borderId="33" xfId="0" applyFont="1" applyFill="1" applyBorder="1" applyAlignment="1">
      <alignment horizontal="center" vertical="top" wrapText="1"/>
    </xf>
    <xf numFmtId="0" fontId="6" fillId="2" borderId="62" xfId="0" applyFont="1" applyFill="1" applyBorder="1" applyAlignment="1">
      <alignment horizontal="center" vertical="top" wrapText="1"/>
    </xf>
    <xf numFmtId="0" fontId="6" fillId="2" borderId="18" xfId="0" applyFont="1" applyFill="1" applyBorder="1" applyAlignment="1">
      <alignment horizontal="center" vertical="top" wrapText="1"/>
    </xf>
    <xf numFmtId="0" fontId="5" fillId="0" borderId="33" xfId="0" applyFont="1" applyBorder="1" applyAlignment="1">
      <alignment horizontal="center" vertical="center" textRotation="90"/>
    </xf>
    <xf numFmtId="49" fontId="6" fillId="2" borderId="31" xfId="0" applyNumberFormat="1" applyFont="1" applyFill="1" applyBorder="1" applyAlignment="1">
      <alignment horizontal="center" vertical="top" wrapText="1"/>
    </xf>
    <xf numFmtId="49" fontId="6" fillId="2" borderId="60" xfId="0" applyNumberFormat="1" applyFont="1" applyFill="1" applyBorder="1" applyAlignment="1">
      <alignment horizontal="center" vertical="top" wrapText="1"/>
    </xf>
    <xf numFmtId="49" fontId="6" fillId="2" borderId="20" xfId="0" applyNumberFormat="1" applyFont="1" applyFill="1" applyBorder="1" applyAlignment="1">
      <alignment horizontal="center" vertical="top" wrapText="1"/>
    </xf>
    <xf numFmtId="0" fontId="5" fillId="0" borderId="31" xfId="0" applyFont="1" applyBorder="1" applyAlignment="1">
      <alignment horizontal="center" vertical="top"/>
    </xf>
    <xf numFmtId="49" fontId="3" fillId="0" borderId="20" xfId="0" applyNumberFormat="1" applyFont="1" applyBorder="1" applyAlignment="1">
      <alignment vertical="top" wrapText="1"/>
    </xf>
    <xf numFmtId="0" fontId="5" fillId="0" borderId="60" xfId="0" applyFont="1" applyBorder="1" applyAlignment="1">
      <alignment vertical="top" wrapText="1"/>
    </xf>
    <xf numFmtId="49" fontId="6" fillId="0" borderId="0" xfId="0" applyNumberFormat="1" applyFont="1" applyFill="1" applyBorder="1" applyAlignment="1">
      <alignment horizontal="center" vertical="top"/>
    </xf>
    <xf numFmtId="0" fontId="6" fillId="0" borderId="23" xfId="0" applyNumberFormat="1" applyFont="1" applyBorder="1" applyAlignment="1">
      <alignment horizontal="center" vertical="top"/>
    </xf>
    <xf numFmtId="0" fontId="6" fillId="0" borderId="56" xfId="0" applyNumberFormat="1" applyFont="1" applyBorder="1" applyAlignment="1">
      <alignment horizontal="center" vertical="top"/>
    </xf>
    <xf numFmtId="0" fontId="6" fillId="0" borderId="0" xfId="0" applyNumberFormat="1" applyFont="1" applyBorder="1" applyAlignment="1">
      <alignment horizontal="center" vertical="top"/>
    </xf>
    <xf numFmtId="0" fontId="6" fillId="0" borderId="78" xfId="0" applyNumberFormat="1" applyFont="1" applyBorder="1" applyAlignment="1">
      <alignment horizontal="center" vertical="top" wrapText="1"/>
    </xf>
    <xf numFmtId="49" fontId="6" fillId="0" borderId="56" xfId="0" applyNumberFormat="1" applyFont="1" applyFill="1" applyBorder="1" applyAlignment="1">
      <alignment vertical="top"/>
    </xf>
    <xf numFmtId="49" fontId="6" fillId="0" borderId="78" xfId="0" applyNumberFormat="1" applyFont="1" applyFill="1" applyBorder="1" applyAlignment="1">
      <alignment vertical="top"/>
    </xf>
    <xf numFmtId="0" fontId="6" fillId="0" borderId="64" xfId="0" applyNumberFormat="1" applyFont="1" applyBorder="1" applyAlignment="1">
      <alignment horizontal="center" vertical="top"/>
    </xf>
    <xf numFmtId="0" fontId="6" fillId="0" borderId="42" xfId="0" applyNumberFormat="1" applyFont="1" applyFill="1" applyBorder="1" applyAlignment="1">
      <alignment horizontal="center" vertical="top"/>
    </xf>
    <xf numFmtId="0" fontId="6" fillId="0" borderId="64" xfId="0" applyNumberFormat="1" applyFont="1" applyFill="1" applyBorder="1" applyAlignment="1">
      <alignment horizontal="center" vertical="top"/>
    </xf>
    <xf numFmtId="0" fontId="6" fillId="0" borderId="42" xfId="0" applyNumberFormat="1" applyFont="1" applyBorder="1" applyAlignment="1">
      <alignment horizontal="center" vertical="top"/>
    </xf>
    <xf numFmtId="0" fontId="3" fillId="0" borderId="0" xfId="0" applyNumberFormat="1" applyFont="1" applyBorder="1" applyAlignment="1">
      <alignment horizontal="center" vertical="top"/>
    </xf>
    <xf numFmtId="0" fontId="6" fillId="0" borderId="78" xfId="0" applyNumberFormat="1" applyFont="1" applyFill="1" applyBorder="1" applyAlignment="1">
      <alignment horizontal="center" vertical="top"/>
    </xf>
    <xf numFmtId="0" fontId="6" fillId="2" borderId="0" xfId="0" applyNumberFormat="1" applyFont="1" applyFill="1" applyBorder="1" applyAlignment="1">
      <alignment horizontal="center" vertical="top"/>
    </xf>
    <xf numFmtId="0" fontId="6" fillId="2" borderId="64" xfId="0" applyNumberFormat="1" applyFont="1" applyFill="1" applyBorder="1" applyAlignment="1">
      <alignment horizontal="center" vertical="top"/>
    </xf>
    <xf numFmtId="0" fontId="6" fillId="2" borderId="42" xfId="0" applyNumberFormat="1" applyFont="1" applyFill="1" applyBorder="1" applyAlignment="1">
      <alignment horizontal="center" vertical="top"/>
    </xf>
    <xf numFmtId="0" fontId="3" fillId="2" borderId="0" xfId="0" applyNumberFormat="1" applyFont="1" applyFill="1" applyBorder="1" applyAlignment="1">
      <alignment horizontal="center" vertical="top"/>
    </xf>
    <xf numFmtId="0" fontId="6" fillId="2" borderId="56" xfId="0" applyNumberFormat="1" applyFont="1" applyFill="1" applyBorder="1" applyAlignment="1">
      <alignment horizontal="center" vertical="top"/>
    </xf>
    <xf numFmtId="0" fontId="3" fillId="0" borderId="56" xfId="0" applyNumberFormat="1" applyFont="1" applyFill="1" applyBorder="1" applyAlignment="1">
      <alignment horizontal="center" vertical="top"/>
    </xf>
    <xf numFmtId="0" fontId="3" fillId="0" borderId="42" xfId="0" applyNumberFormat="1" applyFont="1" applyFill="1" applyBorder="1" applyAlignment="1">
      <alignment horizontal="center" vertical="top"/>
    </xf>
    <xf numFmtId="0" fontId="3" fillId="0" borderId="64" xfId="0" applyNumberFormat="1" applyFont="1" applyFill="1" applyBorder="1" applyAlignment="1">
      <alignment horizontal="center" vertical="top"/>
    </xf>
    <xf numFmtId="0" fontId="5" fillId="0" borderId="78" xfId="0" applyFont="1" applyBorder="1" applyAlignment="1">
      <alignment vertical="top"/>
    </xf>
    <xf numFmtId="0" fontId="6" fillId="0" borderId="0" xfId="0" applyNumberFormat="1" applyFont="1" applyFill="1" applyBorder="1" applyAlignment="1">
      <alignment horizontal="center" vertical="top" wrapText="1"/>
    </xf>
    <xf numFmtId="0" fontId="3" fillId="0" borderId="56" xfId="0" applyNumberFormat="1" applyFont="1" applyBorder="1" applyAlignment="1">
      <alignment horizontal="center" vertical="top"/>
    </xf>
    <xf numFmtId="0" fontId="6" fillId="0" borderId="56" xfId="0" applyNumberFormat="1" applyFont="1" applyFill="1" applyBorder="1" applyAlignment="1">
      <alignment horizontal="center" vertical="top" wrapText="1"/>
    </xf>
    <xf numFmtId="0" fontId="6" fillId="0" borderId="56" xfId="0" applyNumberFormat="1" applyFont="1" applyFill="1" applyBorder="1" applyAlignment="1">
      <alignment horizontal="center" vertical="top"/>
    </xf>
    <xf numFmtId="0" fontId="3" fillId="0" borderId="18" xfId="0" applyFont="1" applyFill="1" applyBorder="1" applyAlignment="1">
      <alignment horizontal="center" vertical="top" wrapText="1"/>
    </xf>
    <xf numFmtId="0" fontId="6" fillId="0" borderId="18" xfId="0" applyFont="1" applyFill="1" applyBorder="1" applyAlignment="1">
      <alignment vertical="center" textRotation="90" wrapText="1"/>
    </xf>
    <xf numFmtId="0" fontId="6" fillId="0" borderId="62" xfId="0" applyFont="1" applyFill="1" applyBorder="1" applyAlignment="1">
      <alignment vertical="center" textRotation="90" wrapText="1"/>
    </xf>
    <xf numFmtId="164" fontId="33" fillId="7" borderId="1" xfId="0" applyNumberFormat="1" applyFont="1" applyFill="1" applyBorder="1" applyAlignment="1">
      <alignment horizontal="center" vertical="top"/>
    </xf>
    <xf numFmtId="0" fontId="33" fillId="2" borderId="17" xfId="0" applyFont="1" applyFill="1" applyBorder="1" applyAlignment="1">
      <alignment vertical="top" wrapText="1"/>
    </xf>
    <xf numFmtId="164" fontId="33" fillId="7" borderId="6" xfId="0" applyNumberFormat="1" applyFont="1" applyFill="1" applyBorder="1" applyAlignment="1">
      <alignment horizontal="center" vertical="top"/>
    </xf>
    <xf numFmtId="164" fontId="33" fillId="7" borderId="7" xfId="0" applyNumberFormat="1" applyFont="1" applyFill="1" applyBorder="1" applyAlignment="1">
      <alignment horizontal="center" vertical="top"/>
    </xf>
    <xf numFmtId="164" fontId="33" fillId="7" borderId="13" xfId="0" applyNumberFormat="1" applyFont="1" applyFill="1" applyBorder="1" applyAlignment="1">
      <alignment horizontal="center" vertical="top"/>
    </xf>
    <xf numFmtId="164" fontId="33" fillId="7" borderId="24" xfId="0" applyNumberFormat="1" applyFont="1" applyFill="1" applyBorder="1" applyAlignment="1">
      <alignment horizontal="center" vertical="top"/>
    </xf>
    <xf numFmtId="0" fontId="33" fillId="0" borderId="17" xfId="0" applyFont="1" applyBorder="1" applyAlignment="1">
      <alignment vertical="top" wrapText="1"/>
    </xf>
    <xf numFmtId="164" fontId="3" fillId="0" borderId="17" xfId="0" applyNumberFormat="1" applyFont="1" applyBorder="1" applyAlignment="1">
      <alignment horizontal="center" vertical="top"/>
    </xf>
    <xf numFmtId="0" fontId="33" fillId="0" borderId="17" xfId="0" applyFont="1" applyFill="1" applyBorder="1" applyAlignment="1">
      <alignment horizontal="center" vertical="top" wrapText="1"/>
    </xf>
    <xf numFmtId="164" fontId="33" fillId="7" borderId="18" xfId="0" applyNumberFormat="1" applyFont="1" applyFill="1" applyBorder="1" applyAlignment="1">
      <alignment horizontal="center" vertical="top"/>
    </xf>
    <xf numFmtId="164" fontId="33" fillId="7" borderId="0" xfId="0" applyNumberFormat="1" applyFont="1" applyFill="1" applyBorder="1" applyAlignment="1">
      <alignment horizontal="center" vertical="top"/>
    </xf>
    <xf numFmtId="164" fontId="33" fillId="7" borderId="20" xfId="0" applyNumberFormat="1" applyFont="1" applyFill="1" applyBorder="1" applyAlignment="1">
      <alignment horizontal="center" vertical="top"/>
    </xf>
    <xf numFmtId="0" fontId="33" fillId="2" borderId="17" xfId="0" applyFont="1" applyFill="1" applyBorder="1" applyAlignment="1">
      <alignment horizontal="left" vertical="top" wrapText="1"/>
    </xf>
    <xf numFmtId="164" fontId="33" fillId="7" borderId="2" xfId="0" applyNumberFormat="1" applyFont="1" applyFill="1" applyBorder="1" applyAlignment="1">
      <alignment horizontal="center" vertical="top"/>
    </xf>
    <xf numFmtId="164" fontId="33" fillId="7" borderId="25" xfId="0" applyNumberFormat="1" applyFont="1" applyFill="1" applyBorder="1" applyAlignment="1">
      <alignment horizontal="center" vertical="top"/>
    </xf>
    <xf numFmtId="164" fontId="33" fillId="7" borderId="42" xfId="0" applyNumberFormat="1" applyFont="1" applyFill="1" applyBorder="1" applyAlignment="1">
      <alignment horizontal="center" vertical="top"/>
    </xf>
    <xf numFmtId="164" fontId="33" fillId="7" borderId="31" xfId="0" applyNumberFormat="1" applyFont="1" applyFill="1" applyBorder="1" applyAlignment="1">
      <alignment horizontal="center" vertical="top"/>
    </xf>
    <xf numFmtId="164" fontId="34" fillId="7" borderId="1" xfId="0" applyNumberFormat="1" applyFont="1" applyFill="1" applyBorder="1" applyAlignment="1">
      <alignment horizontal="center" vertical="top"/>
    </xf>
    <xf numFmtId="164" fontId="34" fillId="7" borderId="6" xfId="0" applyNumberFormat="1" applyFont="1" applyFill="1" applyBorder="1" applyAlignment="1">
      <alignment horizontal="center" vertical="top"/>
    </xf>
    <xf numFmtId="164" fontId="34" fillId="7" borderId="37" xfId="0" applyNumberFormat="1" applyFont="1" applyFill="1" applyBorder="1" applyAlignment="1">
      <alignment horizontal="center" vertical="top"/>
    </xf>
    <xf numFmtId="164" fontId="34" fillId="7" borderId="31" xfId="0" applyNumberFormat="1" applyFont="1" applyFill="1" applyBorder="1" applyAlignment="1">
      <alignment horizontal="center" vertical="top"/>
    </xf>
    <xf numFmtId="49" fontId="3" fillId="0" borderId="56" xfId="0" applyNumberFormat="1" applyFont="1" applyFill="1" applyBorder="1" applyAlignment="1">
      <alignment horizontal="center" vertical="top"/>
    </xf>
    <xf numFmtId="164" fontId="3" fillId="7" borderId="4" xfId="0" applyNumberFormat="1" applyFont="1" applyFill="1" applyBorder="1" applyAlignment="1">
      <alignment horizontal="center" vertical="top"/>
    </xf>
    <xf numFmtId="164" fontId="3" fillId="2" borderId="10" xfId="0" applyNumberFormat="1" applyFont="1" applyFill="1" applyBorder="1" applyAlignment="1">
      <alignment horizontal="center" vertical="top" wrapText="1"/>
    </xf>
    <xf numFmtId="0" fontId="6" fillId="0" borderId="43" xfId="0" applyFont="1" applyFill="1" applyBorder="1" applyAlignment="1">
      <alignment horizontal="left" vertical="top"/>
    </xf>
    <xf numFmtId="49" fontId="34" fillId="0" borderId="23" xfId="0" applyNumberFormat="1" applyFont="1" applyFill="1" applyBorder="1" applyAlignment="1">
      <alignment horizontal="center" vertical="top"/>
    </xf>
    <xf numFmtId="164" fontId="34" fillId="7" borderId="3" xfId="0" applyNumberFormat="1" applyFont="1" applyFill="1" applyBorder="1" applyAlignment="1">
      <alignment horizontal="center" vertical="top"/>
    </xf>
    <xf numFmtId="164" fontId="34" fillId="7" borderId="2" xfId="0" applyNumberFormat="1" applyFont="1" applyFill="1" applyBorder="1" applyAlignment="1">
      <alignment horizontal="center" vertical="top"/>
    </xf>
    <xf numFmtId="164" fontId="34" fillId="7" borderId="20" xfId="0" applyNumberFormat="1" applyFont="1" applyFill="1" applyBorder="1" applyAlignment="1">
      <alignment horizontal="center" vertical="top"/>
    </xf>
    <xf numFmtId="164" fontId="33" fillId="7" borderId="21" xfId="0" applyNumberFormat="1" applyFont="1" applyFill="1" applyBorder="1" applyAlignment="1">
      <alignment horizontal="center" vertical="top"/>
    </xf>
    <xf numFmtId="164" fontId="33" fillId="7" borderId="27" xfId="0" applyNumberFormat="1" applyFont="1" applyFill="1" applyBorder="1" applyAlignment="1">
      <alignment horizontal="center" vertical="top"/>
    </xf>
    <xf numFmtId="164" fontId="34" fillId="7" borderId="50" xfId="0" applyNumberFormat="1" applyFont="1" applyFill="1" applyBorder="1" applyAlignment="1">
      <alignment horizontal="center" vertical="top"/>
    </xf>
    <xf numFmtId="164" fontId="34" fillId="7" borderId="8" xfId="0" applyNumberFormat="1" applyFont="1" applyFill="1" applyBorder="1" applyAlignment="1">
      <alignment horizontal="center" vertical="top"/>
    </xf>
    <xf numFmtId="164" fontId="34" fillId="7" borderId="52" xfId="0" applyNumberFormat="1" applyFont="1" applyFill="1" applyBorder="1" applyAlignment="1">
      <alignment horizontal="center" vertical="top"/>
    </xf>
    <xf numFmtId="164" fontId="34" fillId="7" borderId="22" xfId="0" applyNumberFormat="1" applyFont="1" applyFill="1" applyBorder="1" applyAlignment="1">
      <alignment horizontal="center" vertical="top"/>
    </xf>
    <xf numFmtId="164" fontId="34" fillId="7" borderId="55" xfId="0" applyNumberFormat="1" applyFont="1" applyFill="1" applyBorder="1" applyAlignment="1">
      <alignment horizontal="center" vertical="top"/>
    </xf>
    <xf numFmtId="164" fontId="33" fillId="7" borderId="4" xfId="0" applyNumberFormat="1" applyFont="1" applyFill="1" applyBorder="1" applyAlignment="1">
      <alignment horizontal="center" vertical="top"/>
    </xf>
    <xf numFmtId="164" fontId="33" fillId="7" borderId="3" xfId="0" applyNumberFormat="1" applyFont="1" applyFill="1" applyBorder="1" applyAlignment="1">
      <alignment horizontal="center" vertical="top"/>
    </xf>
    <xf numFmtId="164" fontId="33" fillId="7" borderId="28" xfId="0" applyNumberFormat="1" applyFont="1" applyFill="1" applyBorder="1" applyAlignment="1">
      <alignment horizontal="center" vertical="top"/>
    </xf>
    <xf numFmtId="164" fontId="34" fillId="7" borderId="9" xfId="0" applyNumberFormat="1" applyFont="1" applyFill="1" applyBorder="1" applyAlignment="1">
      <alignment horizontal="center" vertical="top"/>
    </xf>
    <xf numFmtId="164" fontId="34" fillId="7" borderId="14" xfId="0" applyNumberFormat="1" applyFont="1" applyFill="1" applyBorder="1" applyAlignment="1">
      <alignment horizontal="center" vertical="top"/>
    </xf>
    <xf numFmtId="164" fontId="34" fillId="7" borderId="18" xfId="0" applyNumberFormat="1" applyFont="1" applyFill="1" applyBorder="1" applyAlignment="1">
      <alignment horizontal="center" vertical="top"/>
    </xf>
    <xf numFmtId="164" fontId="34" fillId="7" borderId="13" xfId="0" applyNumberFormat="1" applyFont="1" applyFill="1" applyBorder="1" applyAlignment="1">
      <alignment horizontal="center" vertical="top"/>
    </xf>
    <xf numFmtId="164" fontId="34" fillId="7" borderId="29" xfId="0" applyNumberFormat="1" applyFont="1" applyFill="1" applyBorder="1" applyAlignment="1">
      <alignment horizontal="center" vertical="top"/>
    </xf>
    <xf numFmtId="0" fontId="3" fillId="0" borderId="46" xfId="0" applyFont="1" applyBorder="1" applyAlignment="1">
      <alignment vertical="top"/>
    </xf>
    <xf numFmtId="164" fontId="6" fillId="0" borderId="69" xfId="0" applyNumberFormat="1" applyFont="1" applyBorder="1" applyAlignment="1">
      <alignment horizontal="center" vertical="top"/>
    </xf>
    <xf numFmtId="164" fontId="34" fillId="7" borderId="24" xfId="0" applyNumberFormat="1" applyFont="1" applyFill="1" applyBorder="1" applyAlignment="1">
      <alignment horizontal="center" vertical="top"/>
    </xf>
    <xf numFmtId="164" fontId="34" fillId="7" borderId="4" xfId="0" applyNumberFormat="1" applyFont="1" applyFill="1" applyBorder="1" applyAlignment="1">
      <alignment horizontal="center" vertical="top"/>
    </xf>
    <xf numFmtId="164" fontId="3" fillId="7" borderId="25" xfId="0" applyNumberFormat="1" applyFont="1" applyFill="1" applyBorder="1" applyAlignment="1">
      <alignment horizontal="center" vertical="top"/>
    </xf>
    <xf numFmtId="164" fontId="2" fillId="8" borderId="42" xfId="0" applyNumberFormat="1" applyFont="1" applyFill="1" applyBorder="1" applyAlignment="1">
      <alignment vertical="top" wrapText="1"/>
    </xf>
    <xf numFmtId="49" fontId="2" fillId="8" borderId="42" xfId="0" applyNumberFormat="1" applyFont="1" applyFill="1" applyBorder="1" applyAlignment="1">
      <alignment vertical="top" wrapText="1"/>
    </xf>
    <xf numFmtId="49" fontId="7" fillId="2" borderId="61" xfId="0" applyNumberFormat="1" applyFont="1" applyFill="1" applyBorder="1" applyAlignment="1">
      <alignment horizontal="center" vertical="top"/>
    </xf>
    <xf numFmtId="164" fontId="3" fillId="8" borderId="2" xfId="0" applyNumberFormat="1" applyFont="1" applyFill="1" applyBorder="1" applyAlignment="1">
      <alignment horizontal="center" vertical="top"/>
    </xf>
    <xf numFmtId="164" fontId="3" fillId="8" borderId="24" xfId="0" applyNumberFormat="1" applyFont="1" applyFill="1" applyBorder="1" applyAlignment="1">
      <alignment horizontal="center" vertical="top"/>
    </xf>
    <xf numFmtId="164" fontId="6" fillId="7" borderId="67" xfId="0" applyNumberFormat="1" applyFont="1" applyFill="1" applyBorder="1" applyAlignment="1">
      <alignment horizontal="center" vertical="top"/>
    </xf>
    <xf numFmtId="49" fontId="3" fillId="0" borderId="20" xfId="0" applyNumberFormat="1" applyFont="1" applyBorder="1" applyAlignment="1">
      <alignment horizontal="center" vertical="top" wrapText="1"/>
    </xf>
    <xf numFmtId="49" fontId="3" fillId="0" borderId="60" xfId="0" applyNumberFormat="1" applyFont="1" applyBorder="1" applyAlignment="1">
      <alignment horizontal="center" vertical="top" wrapText="1"/>
    </xf>
    <xf numFmtId="49" fontId="4" fillId="4" borderId="33" xfId="0" applyNumberFormat="1" applyFont="1" applyFill="1" applyBorder="1" applyAlignment="1">
      <alignment horizontal="center" vertical="top"/>
    </xf>
    <xf numFmtId="49" fontId="4" fillId="4" borderId="62" xfId="0" applyNumberFormat="1" applyFont="1" applyFill="1" applyBorder="1" applyAlignment="1">
      <alignment horizontal="center" vertical="top"/>
    </xf>
    <xf numFmtId="49" fontId="3" fillId="0" borderId="31" xfId="0" applyNumberFormat="1" applyFont="1" applyBorder="1" applyAlignment="1">
      <alignment horizontal="center" vertical="top" wrapText="1"/>
    </xf>
    <xf numFmtId="49" fontId="6" fillId="0" borderId="23" xfId="0" applyNumberFormat="1" applyFont="1" applyFill="1" applyBorder="1" applyAlignment="1">
      <alignment horizontal="center" vertical="top"/>
    </xf>
    <xf numFmtId="49" fontId="4" fillId="0" borderId="21" xfId="0" applyNumberFormat="1" applyFont="1" applyBorder="1" applyAlignment="1">
      <alignment horizontal="center" vertical="top"/>
    </xf>
    <xf numFmtId="49" fontId="4" fillId="0" borderId="68" xfId="0" applyNumberFormat="1" applyFont="1" applyBorder="1" applyAlignment="1">
      <alignment horizontal="center" vertical="top"/>
    </xf>
    <xf numFmtId="0" fontId="6" fillId="2" borderId="34" xfId="0" applyFont="1" applyFill="1" applyBorder="1" applyAlignment="1">
      <alignment vertical="top" wrapText="1"/>
    </xf>
    <xf numFmtId="0" fontId="6" fillId="2" borderId="51" xfId="0" applyFont="1" applyFill="1" applyBorder="1" applyAlignment="1">
      <alignment vertical="top" wrapText="1"/>
    </xf>
    <xf numFmtId="49" fontId="4" fillId="3" borderId="31" xfId="0" applyNumberFormat="1" applyFont="1" applyFill="1" applyBorder="1" applyAlignment="1">
      <alignment horizontal="center" vertical="top"/>
    </xf>
    <xf numFmtId="49" fontId="4" fillId="3" borderId="60" xfId="0" applyNumberFormat="1" applyFont="1" applyFill="1" applyBorder="1" applyAlignment="1">
      <alignment horizontal="center" vertical="top"/>
    </xf>
    <xf numFmtId="0" fontId="3" fillId="0" borderId="78" xfId="0" applyNumberFormat="1" applyFont="1" applyFill="1" applyBorder="1" applyAlignment="1">
      <alignment horizontal="center" vertical="top"/>
    </xf>
    <xf numFmtId="0" fontId="6" fillId="0" borderId="78" xfId="0" applyNumberFormat="1" applyFont="1" applyFill="1" applyBorder="1" applyAlignment="1">
      <alignment horizontal="center" vertical="top"/>
    </xf>
    <xf numFmtId="0" fontId="7" fillId="2" borderId="34" xfId="0" applyFont="1" applyFill="1" applyBorder="1" applyAlignment="1">
      <alignment vertical="top" wrapText="1"/>
    </xf>
    <xf numFmtId="49" fontId="4" fillId="4" borderId="18" xfId="0" applyNumberFormat="1" applyFont="1" applyFill="1" applyBorder="1" applyAlignment="1">
      <alignment horizontal="center" vertical="top"/>
    </xf>
    <xf numFmtId="0" fontId="6" fillId="0" borderId="62" xfId="0" applyFont="1" applyFill="1" applyBorder="1" applyAlignment="1">
      <alignment horizontal="center" vertical="center" textRotation="90" wrapText="1"/>
    </xf>
    <xf numFmtId="0" fontId="6" fillId="2" borderId="17" xfId="0" applyFont="1" applyFill="1" applyBorder="1" applyAlignment="1">
      <alignment horizontal="left" vertical="top" wrapText="1"/>
    </xf>
    <xf numFmtId="0" fontId="6" fillId="2" borderId="51" xfId="0" applyFont="1" applyFill="1" applyBorder="1" applyAlignment="1">
      <alignment horizontal="left" vertical="top" wrapText="1"/>
    </xf>
    <xf numFmtId="49" fontId="4" fillId="3" borderId="20" xfId="0" applyNumberFormat="1" applyFont="1" applyFill="1" applyBorder="1" applyAlignment="1">
      <alignment horizontal="center" vertical="top"/>
    </xf>
    <xf numFmtId="49" fontId="4" fillId="4" borderId="48" xfId="0" applyNumberFormat="1" applyFont="1" applyFill="1" applyBorder="1" applyAlignment="1">
      <alignment horizontal="center" vertical="top"/>
    </xf>
    <xf numFmtId="49" fontId="4" fillId="4" borderId="59" xfId="0" applyNumberFormat="1" applyFont="1" applyFill="1" applyBorder="1" applyAlignment="1">
      <alignment horizontal="center" vertical="top"/>
    </xf>
    <xf numFmtId="49" fontId="7" fillId="4" borderId="48" xfId="0" applyNumberFormat="1" applyFont="1" applyFill="1" applyBorder="1" applyAlignment="1">
      <alignment horizontal="center" vertical="top"/>
    </xf>
    <xf numFmtId="49" fontId="7" fillId="4" borderId="29" xfId="0" applyNumberFormat="1" applyFont="1" applyFill="1" applyBorder="1" applyAlignment="1">
      <alignment horizontal="center" vertical="top"/>
    </xf>
    <xf numFmtId="49" fontId="7" fillId="4" borderId="59" xfId="0" applyNumberFormat="1" applyFont="1" applyFill="1" applyBorder="1" applyAlignment="1">
      <alignment horizontal="center" vertical="top"/>
    </xf>
    <xf numFmtId="49" fontId="7" fillId="3" borderId="3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3" borderId="60" xfId="0" applyNumberFormat="1" applyFont="1" applyFill="1" applyBorder="1" applyAlignment="1">
      <alignment horizontal="center" vertical="top"/>
    </xf>
    <xf numFmtId="49" fontId="4" fillId="4" borderId="29" xfId="0" applyNumberFormat="1" applyFont="1" applyFill="1" applyBorder="1" applyAlignment="1">
      <alignment horizontal="center" vertical="top"/>
    </xf>
    <xf numFmtId="0" fontId="6" fillId="0" borderId="0" xfId="0" applyNumberFormat="1" applyFont="1" applyBorder="1" applyAlignment="1">
      <alignment horizontal="center" vertical="top"/>
    </xf>
    <xf numFmtId="0" fontId="6" fillId="0" borderId="64" xfId="0" applyNumberFormat="1" applyFont="1" applyBorder="1" applyAlignment="1">
      <alignment horizontal="center" vertical="top"/>
    </xf>
    <xf numFmtId="0" fontId="5" fillId="0" borderId="62" xfId="0" applyFont="1" applyBorder="1" applyAlignment="1">
      <alignment horizontal="center" vertical="center" textRotation="90"/>
    </xf>
    <xf numFmtId="0" fontId="6" fillId="0" borderId="33"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62" xfId="0" applyFont="1" applyFill="1" applyBorder="1" applyAlignment="1">
      <alignment horizontal="center" vertical="top" wrapText="1"/>
    </xf>
    <xf numFmtId="0" fontId="5" fillId="0" borderId="60" xfId="0" applyFont="1" applyBorder="1" applyAlignment="1">
      <alignment horizontal="center" vertical="top"/>
    </xf>
    <xf numFmtId="0" fontId="6" fillId="0" borderId="56" xfId="0" applyNumberFormat="1" applyFont="1" applyBorder="1" applyAlignment="1">
      <alignment horizontal="center" vertical="top"/>
    </xf>
    <xf numFmtId="49" fontId="7" fillId="0" borderId="67" xfId="0" applyNumberFormat="1" applyFont="1" applyBorder="1" applyAlignment="1">
      <alignment horizontal="center" vertical="top"/>
    </xf>
    <xf numFmtId="49" fontId="7" fillId="0" borderId="21" xfId="0" applyNumberFormat="1" applyFont="1" applyBorder="1" applyAlignment="1">
      <alignment horizontal="center" vertical="top"/>
    </xf>
    <xf numFmtId="49" fontId="6" fillId="0" borderId="31"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49" fontId="6" fillId="0" borderId="60" xfId="0" applyNumberFormat="1" applyFont="1" applyBorder="1" applyAlignment="1">
      <alignment horizontal="center" vertical="top" wrapText="1"/>
    </xf>
    <xf numFmtId="0" fontId="6" fillId="0" borderId="33" xfId="0" applyFont="1" applyFill="1" applyBorder="1" applyAlignment="1">
      <alignment horizontal="center" vertical="top" textRotation="180" wrapText="1"/>
    </xf>
    <xf numFmtId="0" fontId="6" fillId="0" borderId="18" xfId="0" applyFont="1" applyFill="1" applyBorder="1" applyAlignment="1">
      <alignment horizontal="center" vertical="top" textRotation="180" wrapText="1"/>
    </xf>
    <xf numFmtId="49" fontId="6" fillId="0" borderId="31" xfId="0" applyNumberFormat="1" applyFont="1" applyBorder="1" applyAlignment="1">
      <alignment horizontal="center" vertical="top"/>
    </xf>
    <xf numFmtId="49" fontId="4" fillId="0" borderId="68" xfId="0" applyNumberFormat="1" applyFont="1" applyFill="1" applyBorder="1" applyAlignment="1">
      <alignment horizontal="center" vertical="top"/>
    </xf>
    <xf numFmtId="0" fontId="33" fillId="2" borderId="51" xfId="0" applyFont="1" applyFill="1" applyBorder="1" applyAlignment="1">
      <alignment vertical="top" wrapText="1"/>
    </xf>
    <xf numFmtId="49" fontId="6" fillId="0" borderId="60" xfId="0" applyNumberFormat="1" applyFont="1" applyFill="1" applyBorder="1" applyAlignment="1">
      <alignment horizontal="center" vertical="top" wrapText="1"/>
    </xf>
    <xf numFmtId="0" fontId="6" fillId="0" borderId="51" xfId="0" applyFont="1" applyFill="1" applyBorder="1" applyAlignment="1">
      <alignment horizontal="center" vertical="top"/>
    </xf>
    <xf numFmtId="164" fontId="6" fillId="0" borderId="64" xfId="0" applyNumberFormat="1"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164" fontId="3" fillId="0" borderId="68" xfId="0" applyNumberFormat="1" applyFont="1" applyFill="1" applyBorder="1" applyAlignment="1">
      <alignment horizontal="center" vertical="top"/>
    </xf>
    <xf numFmtId="164" fontId="6" fillId="7" borderId="62" xfId="0" applyNumberFormat="1" applyFont="1" applyFill="1" applyBorder="1" applyAlignment="1">
      <alignment horizontal="center" vertical="top"/>
    </xf>
    <xf numFmtId="164" fontId="6" fillId="7" borderId="68" xfId="0" applyNumberFormat="1" applyFont="1" applyFill="1" applyBorder="1" applyAlignment="1">
      <alignment horizontal="center" vertical="top"/>
    </xf>
    <xf numFmtId="164" fontId="6" fillId="7" borderId="61" xfId="0" applyNumberFormat="1" applyFont="1" applyFill="1" applyBorder="1" applyAlignment="1">
      <alignment horizontal="center" vertical="top"/>
    </xf>
    <xf numFmtId="164" fontId="3" fillId="0" borderId="59" xfId="0" applyNumberFormat="1" applyFont="1" applyFill="1" applyBorder="1" applyAlignment="1">
      <alignment horizontal="center" vertical="top" wrapText="1"/>
    </xf>
    <xf numFmtId="164" fontId="3" fillId="0" borderId="51" xfId="0" applyNumberFormat="1" applyFont="1" applyFill="1" applyBorder="1" applyAlignment="1">
      <alignment horizontal="center" vertical="top" wrapText="1"/>
    </xf>
    <xf numFmtId="49" fontId="4" fillId="0" borderId="67" xfId="0" applyNumberFormat="1" applyFont="1" applyFill="1" applyBorder="1" applyAlignment="1">
      <alignment horizontal="center" vertical="top"/>
    </xf>
    <xf numFmtId="49" fontId="6" fillId="0" borderId="31" xfId="0" applyNumberFormat="1" applyFont="1" applyFill="1" applyBorder="1" applyAlignment="1">
      <alignment horizontal="center" vertical="top" wrapText="1"/>
    </xf>
    <xf numFmtId="0" fontId="6" fillId="0" borderId="34" xfId="0" applyFont="1" applyFill="1" applyBorder="1" applyAlignment="1">
      <alignment horizontal="center" vertical="top"/>
    </xf>
    <xf numFmtId="164" fontId="6" fillId="0" borderId="67" xfId="0" applyNumberFormat="1" applyFont="1" applyFill="1" applyBorder="1" applyAlignment="1">
      <alignment horizontal="center" vertical="top"/>
    </xf>
    <xf numFmtId="164" fontId="3" fillId="0" borderId="67" xfId="0" applyNumberFormat="1" applyFont="1" applyFill="1" applyBorder="1" applyAlignment="1">
      <alignment horizontal="center" vertical="top"/>
    </xf>
    <xf numFmtId="164" fontId="3" fillId="0" borderId="48" xfId="0" applyNumberFormat="1" applyFont="1" applyFill="1" applyBorder="1" applyAlignment="1">
      <alignment horizontal="center" vertical="top" wrapText="1"/>
    </xf>
    <xf numFmtId="164" fontId="3" fillId="0" borderId="34" xfId="0" applyNumberFormat="1" applyFont="1" applyFill="1" applyBorder="1" applyAlignment="1">
      <alignment horizontal="center" vertical="top" wrapText="1"/>
    </xf>
    <xf numFmtId="49" fontId="7" fillId="3" borderId="20" xfId="0" applyNumberFormat="1" applyFont="1" applyFill="1" applyBorder="1" applyAlignment="1">
      <alignment horizontal="center" vertical="top"/>
    </xf>
    <xf numFmtId="164" fontId="33" fillId="7" borderId="26" xfId="0" applyNumberFormat="1" applyFont="1" applyFill="1" applyBorder="1" applyAlignment="1">
      <alignment horizontal="center" vertical="top"/>
    </xf>
    <xf numFmtId="0" fontId="6" fillId="8" borderId="10" xfId="0" applyFont="1" applyFill="1" applyBorder="1" applyAlignment="1">
      <alignment horizontal="center" vertical="top"/>
    </xf>
    <xf numFmtId="0" fontId="6" fillId="0" borderId="33" xfId="0" applyFont="1" applyFill="1" applyBorder="1" applyAlignment="1">
      <alignment horizontal="center" vertical="top" textRotation="91" wrapText="1"/>
    </xf>
    <xf numFmtId="0" fontId="6" fillId="0" borderId="18" xfId="0" applyFont="1" applyFill="1" applyBorder="1" applyAlignment="1">
      <alignment horizontal="center" vertical="top" textRotation="91" wrapText="1"/>
    </xf>
    <xf numFmtId="0" fontId="6" fillId="0" borderId="62" xfId="0" applyFont="1" applyFill="1" applyBorder="1" applyAlignment="1">
      <alignment horizontal="center" vertical="top" textRotation="91" wrapText="1"/>
    </xf>
    <xf numFmtId="49" fontId="7" fillId="0" borderId="56" xfId="0" applyNumberFormat="1" applyFont="1" applyBorder="1" applyAlignment="1">
      <alignment horizontal="center" vertical="top"/>
    </xf>
    <xf numFmtId="0" fontId="7" fillId="0" borderId="17" xfId="0" applyFont="1" applyFill="1" applyBorder="1" applyAlignment="1">
      <alignment horizontal="left" vertical="top" wrapText="1"/>
    </xf>
    <xf numFmtId="0" fontId="7" fillId="0" borderId="51" xfId="0" applyFont="1" applyFill="1" applyBorder="1" applyAlignment="1">
      <alignment horizontal="left" vertical="top" wrapText="1"/>
    </xf>
    <xf numFmtId="49" fontId="4" fillId="0" borderId="7" xfId="0" applyNumberFormat="1" applyFont="1" applyBorder="1" applyAlignment="1">
      <alignment horizontal="center" vertical="top"/>
    </xf>
    <xf numFmtId="49" fontId="4" fillId="0" borderId="83" xfId="0" applyNumberFormat="1" applyFont="1" applyBorder="1" applyAlignment="1">
      <alignment horizontal="center" vertical="top"/>
    </xf>
    <xf numFmtId="0" fontId="6" fillId="0" borderId="34" xfId="0" applyFont="1" applyFill="1" applyBorder="1" applyAlignment="1">
      <alignment horizontal="left" vertical="top" wrapText="1"/>
    </xf>
    <xf numFmtId="0" fontId="6" fillId="0" borderId="51" xfId="0" applyFont="1" applyFill="1" applyBorder="1" applyAlignment="1">
      <alignment horizontal="left" vertical="top" wrapText="1"/>
    </xf>
    <xf numFmtId="164" fontId="6" fillId="0" borderId="69" xfId="0" applyNumberFormat="1" applyFont="1" applyBorder="1" applyAlignment="1">
      <alignment horizontal="center" vertical="top" wrapText="1"/>
    </xf>
    <xf numFmtId="164" fontId="6" fillId="0" borderId="46" xfId="0" applyNumberFormat="1" applyFont="1" applyBorder="1" applyAlignment="1">
      <alignment horizontal="center" vertical="top" wrapText="1"/>
    </xf>
    <xf numFmtId="164" fontId="6" fillId="0" borderId="43"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60" xfId="0" applyNumberFormat="1" applyFont="1" applyBorder="1" applyAlignment="1">
      <alignment horizontal="center" vertical="top" wrapText="1"/>
    </xf>
    <xf numFmtId="0" fontId="3" fillId="0" borderId="33" xfId="0" applyFont="1" applyFill="1" applyBorder="1" applyAlignment="1">
      <alignment horizontal="center" vertical="top" wrapText="1"/>
    </xf>
    <xf numFmtId="0" fontId="3" fillId="0" borderId="62" xfId="0" applyFont="1" applyFill="1" applyBorder="1" applyAlignment="1">
      <alignment horizontal="center" vertical="top" wrapText="1"/>
    </xf>
    <xf numFmtId="0" fontId="3" fillId="0" borderId="24" xfId="0" applyFont="1" applyBorder="1" applyAlignment="1">
      <alignment horizontal="left" vertical="top" wrapText="1"/>
    </xf>
    <xf numFmtId="0" fontId="3" fillId="0" borderId="2" xfId="0" applyFont="1" applyBorder="1" applyAlignment="1">
      <alignment horizontal="left" vertical="top" wrapText="1"/>
    </xf>
    <xf numFmtId="0" fontId="3" fillId="0" borderId="25" xfId="0" applyFont="1" applyBorder="1" applyAlignment="1">
      <alignment horizontal="left" vertical="top" wrapText="1"/>
    </xf>
    <xf numFmtId="0" fontId="3" fillId="0" borderId="69"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43" xfId="0" applyFont="1" applyFill="1" applyBorder="1" applyAlignment="1">
      <alignment horizontal="left" vertical="top" wrapText="1"/>
    </xf>
    <xf numFmtId="49" fontId="4" fillId="4" borderId="33" xfId="0" applyNumberFormat="1" applyFont="1" applyFill="1" applyBorder="1" applyAlignment="1">
      <alignment horizontal="center" vertical="top"/>
    </xf>
    <xf numFmtId="49" fontId="4" fillId="4" borderId="62" xfId="0" applyNumberFormat="1" applyFont="1" applyFill="1" applyBorder="1" applyAlignment="1">
      <alignment horizontal="center" vertical="top"/>
    </xf>
    <xf numFmtId="49" fontId="4" fillId="0" borderId="32" xfId="0" applyNumberFormat="1" applyFont="1" applyBorder="1" applyAlignment="1">
      <alignment horizontal="center" vertical="top"/>
    </xf>
    <xf numFmtId="49" fontId="4" fillId="0" borderId="61" xfId="0" applyNumberFormat="1" applyFont="1" applyBorder="1" applyAlignment="1">
      <alignment horizontal="center" vertical="top"/>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50" xfId="0" applyFont="1" applyFill="1" applyBorder="1" applyAlignment="1">
      <alignment horizontal="left" vertical="top" wrapText="1"/>
    </xf>
    <xf numFmtId="164" fontId="6" fillId="0" borderId="49" xfId="0" applyNumberFormat="1" applyFont="1" applyBorder="1" applyAlignment="1">
      <alignment horizontal="center" vertical="top" wrapText="1"/>
    </xf>
    <xf numFmtId="164" fontId="6" fillId="0" borderId="58" xfId="0" applyNumberFormat="1" applyFont="1" applyBorder="1" applyAlignment="1">
      <alignment horizontal="center" vertical="top" wrapText="1"/>
    </xf>
    <xf numFmtId="164" fontId="6" fillId="0" borderId="44" xfId="0" applyNumberFormat="1" applyFont="1" applyBorder="1" applyAlignment="1">
      <alignment horizontal="center" vertical="top" wrapText="1"/>
    </xf>
    <xf numFmtId="0" fontId="4" fillId="0" borderId="3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82" xfId="0" applyFont="1" applyBorder="1" applyAlignment="1">
      <alignment horizontal="center" vertical="center" wrapText="1"/>
    </xf>
    <xf numFmtId="164" fontId="7" fillId="5" borderId="54" xfId="0" applyNumberFormat="1" applyFont="1" applyFill="1" applyBorder="1" applyAlignment="1">
      <alignment horizontal="center" vertical="top" wrapText="1"/>
    </xf>
    <xf numFmtId="164" fontId="7" fillId="5" borderId="16" xfId="0" applyNumberFormat="1" applyFont="1" applyFill="1" applyBorder="1" applyAlignment="1">
      <alignment horizontal="center" vertical="top" wrapText="1"/>
    </xf>
    <xf numFmtId="49" fontId="7" fillId="4" borderId="33" xfId="0" applyNumberFormat="1" applyFont="1" applyFill="1" applyBorder="1" applyAlignment="1">
      <alignment horizontal="center" vertical="top"/>
    </xf>
    <xf numFmtId="49" fontId="7" fillId="4" borderId="62" xfId="0" applyNumberFormat="1" applyFont="1" applyFill="1" applyBorder="1" applyAlignment="1">
      <alignment horizontal="center" vertical="top"/>
    </xf>
    <xf numFmtId="49" fontId="4" fillId="3" borderId="63" xfId="0" applyNumberFormat="1" applyFont="1" applyFill="1" applyBorder="1" applyAlignment="1">
      <alignment horizontal="right" vertical="top"/>
    </xf>
    <xf numFmtId="49" fontId="4" fillId="3" borderId="38" xfId="0" applyNumberFormat="1" applyFont="1" applyFill="1" applyBorder="1" applyAlignment="1">
      <alignment horizontal="right" vertical="top"/>
    </xf>
    <xf numFmtId="49" fontId="3" fillId="0" borderId="31" xfId="0" applyNumberFormat="1" applyFont="1" applyBorder="1" applyAlignment="1">
      <alignment horizontal="center" vertical="top" wrapText="1"/>
    </xf>
    <xf numFmtId="49" fontId="6" fillId="0" borderId="23" xfId="0" applyNumberFormat="1" applyFont="1" applyFill="1" applyBorder="1" applyAlignment="1">
      <alignment horizontal="center" vertical="top"/>
    </xf>
    <xf numFmtId="49" fontId="6" fillId="0" borderId="78" xfId="0" applyNumberFormat="1" applyFont="1" applyFill="1" applyBorder="1" applyAlignment="1">
      <alignment horizontal="center" vertical="top"/>
    </xf>
    <xf numFmtId="49" fontId="4" fillId="0" borderId="21" xfId="0" applyNumberFormat="1" applyFont="1" applyBorder="1" applyAlignment="1">
      <alignment horizontal="center" vertical="top"/>
    </xf>
    <xf numFmtId="49" fontId="4" fillId="0" borderId="68" xfId="0" applyNumberFormat="1" applyFont="1" applyBorder="1" applyAlignment="1">
      <alignment horizontal="center" vertical="top"/>
    </xf>
    <xf numFmtId="0" fontId="4" fillId="7" borderId="59" xfId="0" applyFont="1" applyFill="1" applyBorder="1" applyAlignment="1">
      <alignment horizontal="right" vertical="top" wrapText="1"/>
    </xf>
    <xf numFmtId="0" fontId="4" fillId="7" borderId="64" xfId="0" applyFont="1" applyFill="1" applyBorder="1" applyAlignment="1">
      <alignment horizontal="right" vertical="top" wrapText="1"/>
    </xf>
    <xf numFmtId="0" fontId="4" fillId="7" borderId="78" xfId="0" applyFont="1" applyFill="1" applyBorder="1" applyAlignment="1">
      <alignment horizontal="right" vertical="top" wrapText="1"/>
    </xf>
    <xf numFmtId="164" fontId="7" fillId="7" borderId="64" xfId="0" applyNumberFormat="1" applyFont="1" applyFill="1" applyBorder="1" applyAlignment="1">
      <alignment horizontal="center" vertical="top" wrapText="1"/>
    </xf>
    <xf numFmtId="164" fontId="7" fillId="7" borderId="78" xfId="0" applyNumberFormat="1" applyFont="1" applyFill="1" applyBorder="1" applyAlignment="1">
      <alignment horizontal="center" vertical="top" wrapText="1"/>
    </xf>
    <xf numFmtId="0" fontId="3" fillId="2"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5" xfId="0" applyFont="1" applyFill="1" applyBorder="1" applyAlignment="1">
      <alignment horizontal="left" vertical="top" wrapText="1"/>
    </xf>
    <xf numFmtId="0" fontId="6" fillId="2" borderId="34" xfId="0" applyFont="1" applyFill="1" applyBorder="1" applyAlignment="1">
      <alignment vertical="top" wrapText="1"/>
    </xf>
    <xf numFmtId="0" fontId="6" fillId="2" borderId="51" xfId="0" applyFont="1" applyFill="1" applyBorder="1" applyAlignment="1">
      <alignment vertical="top" wrapText="1"/>
    </xf>
    <xf numFmtId="49" fontId="13" fillId="0" borderId="0" xfId="0" applyNumberFormat="1" applyFont="1" applyFill="1" applyBorder="1" applyAlignment="1">
      <alignment horizontal="center" wrapText="1"/>
    </xf>
    <xf numFmtId="164" fontId="7" fillId="7" borderId="59" xfId="0" applyNumberFormat="1" applyFont="1" applyFill="1" applyBorder="1" applyAlignment="1">
      <alignment horizontal="center" vertical="top" wrapText="1"/>
    </xf>
    <xf numFmtId="164" fontId="6" fillId="0" borderId="69" xfId="0" applyNumberFormat="1" applyFont="1" applyFill="1" applyBorder="1" applyAlignment="1">
      <alignment horizontal="center" vertical="top" wrapText="1"/>
    </xf>
    <xf numFmtId="164" fontId="6" fillId="0" borderId="46" xfId="0" applyNumberFormat="1" applyFont="1" applyFill="1" applyBorder="1" applyAlignment="1">
      <alignment horizontal="center" vertical="top" wrapText="1"/>
    </xf>
    <xf numFmtId="164" fontId="6" fillId="0" borderId="43" xfId="0" applyNumberFormat="1" applyFont="1" applyFill="1" applyBorder="1" applyAlignment="1">
      <alignment horizontal="center" vertical="top" wrapText="1"/>
    </xf>
    <xf numFmtId="0" fontId="3" fillId="2" borderId="69"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43" xfId="0" applyFont="1" applyFill="1" applyBorder="1" applyAlignment="1">
      <alignment horizontal="left" vertical="top" wrapText="1"/>
    </xf>
    <xf numFmtId="164" fontId="7" fillId="5" borderId="69" xfId="0" applyNumberFormat="1" applyFont="1" applyFill="1" applyBorder="1" applyAlignment="1">
      <alignment horizontal="center" vertical="top" wrapText="1"/>
    </xf>
    <xf numFmtId="164" fontId="7" fillId="5" borderId="46" xfId="0" applyNumberFormat="1" applyFont="1" applyFill="1" applyBorder="1" applyAlignment="1">
      <alignment horizontal="center" vertical="top" wrapText="1"/>
    </xf>
    <xf numFmtId="164" fontId="7" fillId="5" borderId="43" xfId="0" applyNumberFormat="1" applyFont="1" applyFill="1" applyBorder="1" applyAlignment="1">
      <alignment horizontal="center" vertical="top" wrapText="1"/>
    </xf>
    <xf numFmtId="49" fontId="4" fillId="3" borderId="31" xfId="0" applyNumberFormat="1" applyFont="1" applyFill="1" applyBorder="1" applyAlignment="1">
      <alignment horizontal="center" vertical="top"/>
    </xf>
    <xf numFmtId="49" fontId="4" fillId="3" borderId="60" xfId="0" applyNumberFormat="1" applyFont="1" applyFill="1" applyBorder="1" applyAlignment="1">
      <alignment horizontal="center" vertical="top"/>
    </xf>
    <xf numFmtId="0" fontId="4" fillId="5" borderId="69" xfId="0" applyFont="1" applyFill="1" applyBorder="1" applyAlignment="1">
      <alignment horizontal="right" vertical="top" wrapText="1"/>
    </xf>
    <xf numFmtId="0" fontId="4" fillId="5" borderId="46" xfId="0" applyFont="1" applyFill="1" applyBorder="1" applyAlignment="1">
      <alignment horizontal="right" vertical="top" wrapText="1"/>
    </xf>
    <xf numFmtId="0" fontId="4" fillId="5" borderId="43" xfId="0" applyFont="1" applyFill="1" applyBorder="1" applyAlignment="1">
      <alignment horizontal="right" vertical="top" wrapText="1"/>
    </xf>
    <xf numFmtId="164" fontId="6" fillId="0" borderId="44" xfId="0" applyNumberFormat="1" applyFont="1" applyFill="1" applyBorder="1" applyAlignment="1">
      <alignment horizontal="center" vertical="top" wrapText="1"/>
    </xf>
    <xf numFmtId="164" fontId="6" fillId="0" borderId="49" xfId="0" applyNumberFormat="1" applyFont="1" applyFill="1" applyBorder="1" applyAlignment="1">
      <alignment horizontal="center" vertical="top" wrapText="1"/>
    </xf>
    <xf numFmtId="164" fontId="6" fillId="0" borderId="58" xfId="0" applyNumberFormat="1" applyFont="1" applyFill="1" applyBorder="1" applyAlignment="1">
      <alignment horizontal="center" vertical="top" wrapText="1"/>
    </xf>
    <xf numFmtId="0" fontId="3" fillId="0" borderId="9" xfId="0" applyFont="1" applyBorder="1" applyAlignment="1">
      <alignment horizontal="left" vertical="top" wrapText="1"/>
    </xf>
    <xf numFmtId="0" fontId="3" fillId="0" borderId="8" xfId="0" applyFont="1" applyBorder="1" applyAlignment="1">
      <alignment horizontal="left" vertical="top" wrapText="1"/>
    </xf>
    <xf numFmtId="0" fontId="3" fillId="0" borderId="50" xfId="0" applyFont="1" applyBorder="1" applyAlignment="1">
      <alignment horizontal="left" vertical="top" wrapText="1"/>
    </xf>
    <xf numFmtId="0" fontId="4" fillId="5" borderId="66" xfId="0" applyFont="1" applyFill="1" applyBorder="1" applyAlignment="1">
      <alignment horizontal="right" vertical="top" wrapText="1"/>
    </xf>
    <xf numFmtId="0" fontId="4" fillId="5" borderId="54" xfId="0" applyFont="1" applyFill="1" applyBorder="1" applyAlignment="1">
      <alignment horizontal="right" vertical="top" wrapText="1"/>
    </xf>
    <xf numFmtId="0" fontId="4" fillId="5" borderId="16" xfId="0" applyFont="1" applyFill="1" applyBorder="1" applyAlignment="1">
      <alignment horizontal="right" vertical="top" wrapText="1"/>
    </xf>
    <xf numFmtId="49" fontId="4" fillId="3" borderId="19" xfId="0" applyNumberFormat="1" applyFont="1" applyFill="1" applyBorder="1" applyAlignment="1">
      <alignment horizontal="right" vertical="top"/>
    </xf>
    <xf numFmtId="49" fontId="4" fillId="3" borderId="54" xfId="0" applyNumberFormat="1" applyFont="1" applyFill="1" applyBorder="1" applyAlignment="1">
      <alignment horizontal="right" vertical="top"/>
    </xf>
    <xf numFmtId="49" fontId="4" fillId="3" borderId="16" xfId="0" applyNumberFormat="1" applyFont="1" applyFill="1" applyBorder="1" applyAlignment="1">
      <alignment horizontal="right" vertical="top"/>
    </xf>
    <xf numFmtId="49" fontId="4" fillId="3" borderId="1" xfId="0" applyNumberFormat="1" applyFont="1" applyFill="1" applyBorder="1" applyAlignment="1">
      <alignment horizontal="center" vertical="top"/>
    </xf>
    <xf numFmtId="49" fontId="4" fillId="3" borderId="47" xfId="0" applyNumberFormat="1" applyFont="1" applyFill="1" applyBorder="1" applyAlignment="1">
      <alignment horizontal="center" vertical="top"/>
    </xf>
    <xf numFmtId="0" fontId="3" fillId="0" borderId="23" xfId="0" applyNumberFormat="1" applyFont="1" applyFill="1" applyBorder="1" applyAlignment="1">
      <alignment horizontal="center" vertical="top"/>
    </xf>
    <xf numFmtId="0" fontId="3" fillId="0" borderId="78" xfId="0" applyNumberFormat="1" applyFont="1" applyFill="1" applyBorder="1" applyAlignment="1">
      <alignment horizontal="center" vertical="top"/>
    </xf>
    <xf numFmtId="49" fontId="4" fillId="4" borderId="46" xfId="0" applyNumberFormat="1" applyFont="1" applyFill="1" applyBorder="1" applyAlignment="1">
      <alignment horizontal="right" vertical="top"/>
    </xf>
    <xf numFmtId="49" fontId="4" fillId="4" borderId="43" xfId="0" applyNumberFormat="1" applyFont="1" applyFill="1" applyBorder="1" applyAlignment="1">
      <alignment horizontal="right" vertical="top"/>
    </xf>
    <xf numFmtId="49" fontId="4" fillId="0" borderId="32" xfId="0" applyNumberFormat="1" applyFont="1" applyFill="1" applyBorder="1" applyAlignment="1">
      <alignment horizontal="center" vertical="top"/>
    </xf>
    <xf numFmtId="49" fontId="4" fillId="0" borderId="61"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78" xfId="0" applyNumberFormat="1" applyFont="1" applyFill="1" applyBorder="1" applyAlignment="1">
      <alignment horizontal="center" vertical="top"/>
    </xf>
    <xf numFmtId="0" fontId="6" fillId="0" borderId="22" xfId="0" applyFont="1" applyFill="1" applyBorder="1" applyAlignment="1">
      <alignment vertical="top" wrapText="1"/>
    </xf>
    <xf numFmtId="0" fontId="6" fillId="0" borderId="81" xfId="0" applyFont="1" applyFill="1" applyBorder="1" applyAlignment="1">
      <alignment vertical="top" wrapText="1"/>
    </xf>
    <xf numFmtId="0" fontId="5" fillId="0" borderId="62" xfId="0" applyFont="1" applyBorder="1" applyAlignment="1">
      <alignment horizontal="center" vertical="top" wrapText="1"/>
    </xf>
    <xf numFmtId="0" fontId="5" fillId="0" borderId="78" xfId="0" applyFont="1" applyBorder="1" applyAlignment="1">
      <alignment horizontal="center" vertical="top"/>
    </xf>
    <xf numFmtId="0" fontId="30" fillId="0" borderId="18" xfId="0" applyFont="1" applyFill="1" applyBorder="1" applyAlignment="1">
      <alignment horizontal="center" vertical="center" textRotation="90" wrapText="1"/>
    </xf>
    <xf numFmtId="0" fontId="30" fillId="0" borderId="62" xfId="0" applyFont="1" applyFill="1" applyBorder="1" applyAlignment="1">
      <alignment horizontal="center" vertical="center" textRotation="90" wrapText="1"/>
    </xf>
    <xf numFmtId="49" fontId="4" fillId="0" borderId="7" xfId="0" applyNumberFormat="1" applyFont="1" applyFill="1" applyBorder="1" applyAlignment="1">
      <alignment horizontal="center" vertical="top"/>
    </xf>
    <xf numFmtId="49" fontId="4" fillId="0" borderId="83" xfId="0" applyNumberFormat="1" applyFont="1" applyFill="1" applyBorder="1" applyAlignment="1">
      <alignment horizontal="center" vertical="top"/>
    </xf>
    <xf numFmtId="0" fontId="5" fillId="0" borderId="60" xfId="0" applyFont="1" applyBorder="1" applyAlignment="1">
      <alignment horizontal="center" vertical="top" wrapText="1"/>
    </xf>
    <xf numFmtId="0" fontId="7" fillId="2" borderId="34" xfId="0" applyFont="1" applyFill="1" applyBorder="1" applyAlignment="1">
      <alignment vertical="top" wrapText="1"/>
    </xf>
    <xf numFmtId="0" fontId="7" fillId="2" borderId="51" xfId="0" applyFont="1" applyFill="1" applyBorder="1" applyAlignment="1">
      <alignment vertical="top" wrapText="1"/>
    </xf>
    <xf numFmtId="49" fontId="7" fillId="0" borderId="32" xfId="0" applyNumberFormat="1" applyFont="1" applyBorder="1" applyAlignment="1">
      <alignment horizontal="center" vertical="top"/>
    </xf>
    <xf numFmtId="49" fontId="7" fillId="0" borderId="61" xfId="0" applyNumberFormat="1" applyFont="1" applyBorder="1" applyAlignment="1">
      <alignment horizontal="center" vertical="top"/>
    </xf>
    <xf numFmtId="49" fontId="4" fillId="4" borderId="18" xfId="0" applyNumberFormat="1" applyFont="1" applyFill="1" applyBorder="1" applyAlignment="1">
      <alignment horizontal="center" vertical="top"/>
    </xf>
    <xf numFmtId="49" fontId="4" fillId="3" borderId="42" xfId="0" applyNumberFormat="1" applyFont="1" applyFill="1" applyBorder="1" applyAlignment="1">
      <alignment horizontal="left" vertical="top" wrapText="1"/>
    </xf>
    <xf numFmtId="49" fontId="4" fillId="3" borderId="23" xfId="0" applyNumberFormat="1" applyFont="1" applyFill="1" applyBorder="1" applyAlignment="1">
      <alignment horizontal="left" vertical="top" wrapText="1"/>
    </xf>
    <xf numFmtId="0" fontId="6" fillId="0" borderId="18" xfId="0" applyFont="1" applyFill="1" applyBorder="1" applyAlignment="1">
      <alignment horizontal="center" vertical="top" textRotation="90" wrapText="1"/>
    </xf>
    <xf numFmtId="0" fontId="6" fillId="0" borderId="33"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62" xfId="0" applyFont="1" applyFill="1" applyBorder="1" applyAlignment="1">
      <alignment horizontal="center" vertical="center" textRotation="90" wrapText="1"/>
    </xf>
    <xf numFmtId="0" fontId="30" fillId="0" borderId="33" xfId="0" applyFont="1" applyFill="1" applyBorder="1" applyAlignment="1">
      <alignment horizontal="center" vertical="center" textRotation="90" wrapText="1"/>
    </xf>
    <xf numFmtId="49" fontId="7" fillId="0" borderId="27" xfId="0" applyNumberFormat="1" applyFont="1" applyBorder="1" applyAlignment="1">
      <alignment horizontal="center" vertical="top"/>
    </xf>
    <xf numFmtId="0" fontId="6" fillId="0" borderId="23" xfId="0" applyFont="1" applyFill="1" applyBorder="1" applyAlignment="1">
      <alignment horizontal="left" vertical="top" wrapText="1"/>
    </xf>
    <xf numFmtId="0" fontId="6" fillId="0" borderId="56" xfId="0" applyFont="1" applyFill="1" applyBorder="1" applyAlignment="1">
      <alignment horizontal="left" vertical="top" wrapText="1"/>
    </xf>
    <xf numFmtId="0" fontId="7" fillId="0" borderId="78"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51" xfId="0" applyFont="1" applyFill="1" applyBorder="1" applyAlignment="1">
      <alignment horizontal="left" vertical="top" wrapText="1"/>
    </xf>
    <xf numFmtId="49" fontId="4" fillId="3" borderId="20" xfId="0" applyNumberFormat="1" applyFont="1" applyFill="1" applyBorder="1" applyAlignment="1">
      <alignment horizontal="center" vertical="top"/>
    </xf>
    <xf numFmtId="49" fontId="4" fillId="4" borderId="48" xfId="0" applyNumberFormat="1" applyFont="1" applyFill="1" applyBorder="1" applyAlignment="1">
      <alignment horizontal="center" vertical="top"/>
    </xf>
    <xf numFmtId="49" fontId="4" fillId="4" borderId="59" xfId="0" applyNumberFormat="1" applyFont="1" applyFill="1" applyBorder="1" applyAlignment="1">
      <alignment horizontal="center" vertical="top"/>
    </xf>
    <xf numFmtId="49" fontId="4" fillId="0" borderId="27" xfId="0" applyNumberFormat="1" applyFont="1" applyBorder="1" applyAlignment="1">
      <alignment horizontal="center" vertical="top"/>
    </xf>
    <xf numFmtId="0" fontId="5" fillId="0" borderId="27" xfId="0" applyFont="1" applyBorder="1" applyAlignment="1">
      <alignment horizontal="center" vertical="top"/>
    </xf>
    <xf numFmtId="0" fontId="5" fillId="0" borderId="61" xfId="0" applyFont="1" applyBorder="1" applyAlignment="1">
      <alignment horizontal="center" vertical="top"/>
    </xf>
    <xf numFmtId="0" fontId="7" fillId="3" borderId="38" xfId="0" applyFont="1" applyFill="1" applyBorder="1" applyAlignment="1">
      <alignment horizontal="left" vertical="top" wrapText="1"/>
    </xf>
    <xf numFmtId="0" fontId="7" fillId="3" borderId="42" xfId="0" applyFont="1" applyFill="1" applyBorder="1" applyAlignment="1">
      <alignment horizontal="left" vertical="top" wrapText="1"/>
    </xf>
    <xf numFmtId="0" fontId="7" fillId="3" borderId="23" xfId="0" applyFont="1" applyFill="1" applyBorder="1" applyAlignment="1">
      <alignment horizontal="left" vertical="top" wrapText="1"/>
    </xf>
    <xf numFmtId="49" fontId="7" fillId="4" borderId="48" xfId="0" applyNumberFormat="1" applyFont="1" applyFill="1" applyBorder="1" applyAlignment="1">
      <alignment horizontal="center" vertical="top"/>
    </xf>
    <xf numFmtId="49" fontId="7" fillId="4" borderId="29" xfId="0" applyNumberFormat="1" applyFont="1" applyFill="1" applyBorder="1" applyAlignment="1">
      <alignment horizontal="center" vertical="top"/>
    </xf>
    <xf numFmtId="49" fontId="7" fillId="4" borderId="59" xfId="0" applyNumberFormat="1" applyFont="1" applyFill="1" applyBorder="1" applyAlignment="1">
      <alignment horizontal="center" vertical="top"/>
    </xf>
    <xf numFmtId="0" fontId="35" fillId="0" borderId="0" xfId="0" applyFont="1" applyFill="1" applyBorder="1" applyAlignment="1">
      <alignment horizontal="left" vertical="top" wrapText="1"/>
    </xf>
    <xf numFmtId="0" fontId="33" fillId="0" borderId="64" xfId="0" applyFont="1" applyFill="1" applyBorder="1" applyAlignment="1">
      <alignment horizontal="left" vertical="top" wrapText="1"/>
    </xf>
    <xf numFmtId="0" fontId="6" fillId="2" borderId="34" xfId="0" applyFont="1" applyFill="1" applyBorder="1" applyAlignment="1">
      <alignment horizontal="left" vertical="top" wrapText="1"/>
    </xf>
    <xf numFmtId="49" fontId="3" fillId="0" borderId="1" xfId="0" applyNumberFormat="1" applyFont="1" applyBorder="1" applyAlignment="1">
      <alignment horizontal="center" vertical="top" wrapText="1"/>
    </xf>
    <xf numFmtId="49" fontId="3" fillId="0" borderId="47" xfId="0" applyNumberFormat="1" applyFont="1" applyBorder="1" applyAlignment="1">
      <alignment horizontal="center" vertical="top" wrapText="1"/>
    </xf>
    <xf numFmtId="49" fontId="7" fillId="3" borderId="3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3" borderId="60" xfId="0" applyNumberFormat="1" applyFont="1" applyFill="1" applyBorder="1" applyAlignment="1">
      <alignment horizontal="center" vertical="top"/>
    </xf>
    <xf numFmtId="49" fontId="4" fillId="4" borderId="29" xfId="0" applyNumberFormat="1" applyFont="1" applyFill="1" applyBorder="1" applyAlignment="1">
      <alignment horizontal="center" vertical="top"/>
    </xf>
    <xf numFmtId="0" fontId="33" fillId="2" borderId="23" xfId="0" applyFont="1" applyFill="1" applyBorder="1" applyAlignment="1">
      <alignment vertical="top" wrapText="1"/>
    </xf>
    <xf numFmtId="0" fontId="33" fillId="2" borderId="56" xfId="0" applyFont="1" applyFill="1" applyBorder="1" applyAlignment="1">
      <alignment vertical="top" wrapText="1"/>
    </xf>
    <xf numFmtId="0" fontId="36" fillId="2" borderId="56" xfId="0" applyFont="1" applyFill="1" applyBorder="1" applyAlignment="1">
      <alignment vertical="top" wrapText="1"/>
    </xf>
    <xf numFmtId="0" fontId="36" fillId="2" borderId="78" xfId="0" applyFont="1" applyFill="1" applyBorder="1" applyAlignment="1">
      <alignment vertical="top" wrapText="1"/>
    </xf>
    <xf numFmtId="49" fontId="4" fillId="3" borderId="30" xfId="0" applyNumberFormat="1" applyFont="1" applyFill="1" applyBorder="1" applyAlignment="1">
      <alignment horizontal="left" vertical="top"/>
    </xf>
    <xf numFmtId="49" fontId="4" fillId="3" borderId="38" xfId="0" applyNumberFormat="1" applyFont="1" applyFill="1" applyBorder="1" applyAlignment="1">
      <alignment horizontal="left" vertical="top"/>
    </xf>
    <xf numFmtId="49" fontId="4" fillId="3" borderId="23" xfId="0" applyNumberFormat="1" applyFont="1" applyFill="1" applyBorder="1" applyAlignment="1">
      <alignment horizontal="left" vertical="top"/>
    </xf>
    <xf numFmtId="49" fontId="4" fillId="0" borderId="27" xfId="0" applyNumberFormat="1" applyFont="1" applyFill="1" applyBorder="1" applyAlignment="1">
      <alignment horizontal="center" vertical="top"/>
    </xf>
    <xf numFmtId="0" fontId="3" fillId="0" borderId="18" xfId="0" applyFont="1" applyFill="1" applyBorder="1" applyAlignment="1">
      <alignment horizontal="center" vertical="center" textRotation="90" wrapText="1"/>
    </xf>
    <xf numFmtId="0" fontId="3" fillId="0" borderId="62" xfId="0" applyFont="1" applyFill="1" applyBorder="1" applyAlignment="1">
      <alignment horizontal="center" vertical="center" textRotation="90" wrapText="1"/>
    </xf>
    <xf numFmtId="0" fontId="7" fillId="2" borderId="56" xfId="0" applyFont="1" applyFill="1" applyBorder="1" applyAlignment="1">
      <alignment horizontal="left" vertical="top" wrapText="1"/>
    </xf>
    <xf numFmtId="0" fontId="6" fillId="0" borderId="0" xfId="0" applyNumberFormat="1" applyFont="1" applyBorder="1" applyAlignment="1">
      <alignment horizontal="center" vertical="top"/>
    </xf>
    <xf numFmtId="0" fontId="6" fillId="0" borderId="64" xfId="0" applyNumberFormat="1" applyFont="1" applyBorder="1" applyAlignment="1">
      <alignment horizontal="center" vertical="top"/>
    </xf>
    <xf numFmtId="0" fontId="6" fillId="2" borderId="42" xfId="0" applyFont="1" applyFill="1" applyBorder="1" applyAlignment="1">
      <alignment horizontal="left" vertical="top" wrapText="1"/>
    </xf>
    <xf numFmtId="0" fontId="6" fillId="2" borderId="64" xfId="0" applyFont="1" applyFill="1" applyBorder="1" applyAlignment="1">
      <alignment horizontal="left" vertical="top" wrapText="1"/>
    </xf>
    <xf numFmtId="0" fontId="3" fillId="0" borderId="33" xfId="0" applyFont="1" applyFill="1" applyBorder="1" applyAlignment="1">
      <alignment horizontal="center" vertical="center" textRotation="90"/>
    </xf>
    <xf numFmtId="0" fontId="3" fillId="0" borderId="18" xfId="0" applyFont="1" applyFill="1" applyBorder="1" applyAlignment="1">
      <alignment horizontal="center" vertical="center" textRotation="90"/>
    </xf>
    <xf numFmtId="0" fontId="5" fillId="0" borderId="18" xfId="0" applyFont="1" applyBorder="1" applyAlignment="1">
      <alignment horizontal="center" vertical="center" textRotation="90"/>
    </xf>
    <xf numFmtId="0" fontId="5" fillId="0" borderId="62" xfId="0" applyFont="1" applyBorder="1" applyAlignment="1">
      <alignment horizontal="center" vertical="center" textRotation="90"/>
    </xf>
    <xf numFmtId="0" fontId="6" fillId="0" borderId="33"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62" xfId="0" applyFont="1" applyFill="1" applyBorder="1" applyAlignment="1">
      <alignment horizontal="center" vertical="top" wrapText="1"/>
    </xf>
    <xf numFmtId="0" fontId="7" fillId="4" borderId="63" xfId="0" applyFont="1" applyFill="1" applyBorder="1" applyAlignment="1">
      <alignment horizontal="left" vertical="top" wrapText="1"/>
    </xf>
    <xf numFmtId="0" fontId="7" fillId="4" borderId="38" xfId="0" applyFont="1" applyFill="1" applyBorder="1" applyAlignment="1">
      <alignment horizontal="left" vertical="top" wrapText="1"/>
    </xf>
    <xf numFmtId="0" fontId="7" fillId="4" borderId="82" xfId="0" applyFont="1" applyFill="1" applyBorder="1" applyAlignment="1">
      <alignment horizontal="left" vertical="top" wrapText="1"/>
    </xf>
    <xf numFmtId="0" fontId="7" fillId="2" borderId="54" xfId="0" applyFont="1" applyFill="1" applyBorder="1" applyAlignment="1">
      <alignment vertical="top" wrapText="1"/>
    </xf>
    <xf numFmtId="0" fontId="6" fillId="2" borderId="80" xfId="0" applyFont="1" applyFill="1" applyBorder="1" applyAlignment="1">
      <alignment vertical="top" wrapText="1"/>
    </xf>
    <xf numFmtId="0" fontId="3" fillId="0" borderId="33" xfId="0" applyFont="1" applyFill="1" applyBorder="1" applyAlignment="1">
      <alignment horizontal="center" vertical="top" textRotation="180" wrapText="1"/>
    </xf>
    <xf numFmtId="0" fontId="3" fillId="0" borderId="62" xfId="0" applyFont="1" applyFill="1" applyBorder="1" applyAlignment="1">
      <alignment horizontal="center" vertical="top" textRotation="180" wrapText="1"/>
    </xf>
    <xf numFmtId="49" fontId="4" fillId="4" borderId="68" xfId="0" applyNumberFormat="1" applyFont="1" applyFill="1" applyBorder="1" applyAlignment="1">
      <alignment horizontal="right" vertical="top"/>
    </xf>
    <xf numFmtId="49" fontId="4" fillId="4" borderId="64" xfId="0" applyNumberFormat="1" applyFont="1" applyFill="1" applyBorder="1" applyAlignment="1">
      <alignment horizontal="right" vertical="top"/>
    </xf>
    <xf numFmtId="0" fontId="3" fillId="0" borderId="42" xfId="0" applyFont="1" applyFill="1" applyBorder="1" applyAlignment="1">
      <alignment horizontal="left" vertical="top" wrapText="1"/>
    </xf>
    <xf numFmtId="0" fontId="3" fillId="0" borderId="64" xfId="0" applyFont="1" applyFill="1" applyBorder="1" applyAlignment="1">
      <alignment horizontal="left" vertical="top" wrapText="1"/>
    </xf>
    <xf numFmtId="0" fontId="34" fillId="0" borderId="54" xfId="0" applyFont="1" applyFill="1" applyBorder="1" applyAlignment="1">
      <alignment vertical="top" wrapText="1"/>
    </xf>
    <xf numFmtId="0" fontId="34" fillId="0" borderId="80" xfId="0" applyFont="1" applyFill="1" applyBorder="1" applyAlignment="1">
      <alignment vertical="top" wrapText="1"/>
    </xf>
    <xf numFmtId="0" fontId="37" fillId="0" borderId="36" xfId="0" applyFont="1" applyFill="1" applyBorder="1" applyAlignment="1">
      <alignment vertical="top" wrapText="1"/>
    </xf>
    <xf numFmtId="0" fontId="37" fillId="0" borderId="17" xfId="0" applyFont="1" applyFill="1" applyBorder="1" applyAlignment="1">
      <alignment vertical="top" wrapText="1"/>
    </xf>
    <xf numFmtId="0" fontId="34" fillId="0" borderId="74" xfId="0" applyFont="1" applyFill="1" applyBorder="1" applyAlignment="1">
      <alignment vertical="top" wrapText="1"/>
    </xf>
    <xf numFmtId="49" fontId="3" fillId="0" borderId="8" xfId="0" applyNumberFormat="1" applyFont="1" applyBorder="1" applyAlignment="1">
      <alignment horizontal="center" vertical="top" wrapText="1"/>
    </xf>
    <xf numFmtId="0" fontId="3" fillId="0" borderId="33" xfId="0" applyFont="1" applyFill="1" applyBorder="1" applyAlignment="1">
      <alignment horizontal="center" vertical="center" textRotation="90" wrapText="1"/>
    </xf>
    <xf numFmtId="49" fontId="3" fillId="0" borderId="31" xfId="0" applyNumberFormat="1" applyFont="1" applyBorder="1" applyAlignment="1">
      <alignment horizontal="center" vertical="top"/>
    </xf>
    <xf numFmtId="49" fontId="3" fillId="0" borderId="20" xfId="0" applyNumberFormat="1" applyFont="1" applyBorder="1" applyAlignment="1">
      <alignment horizontal="center" vertical="top"/>
    </xf>
    <xf numFmtId="0" fontId="5" fillId="0" borderId="20" xfId="0" applyFont="1" applyBorder="1" applyAlignment="1">
      <alignment horizontal="center" vertical="top"/>
    </xf>
    <xf numFmtId="0" fontId="5" fillId="0" borderId="60" xfId="0" applyFont="1" applyBorder="1" applyAlignment="1">
      <alignment horizontal="center" vertical="top"/>
    </xf>
    <xf numFmtId="49" fontId="4" fillId="3" borderId="40" xfId="0" applyNumberFormat="1" applyFont="1" applyFill="1" applyBorder="1" applyAlignment="1">
      <alignment horizontal="right" vertical="top"/>
    </xf>
    <xf numFmtId="0" fontId="37" fillId="0" borderId="34" xfId="0" applyFont="1" applyFill="1" applyBorder="1" applyAlignment="1">
      <alignment vertical="top" wrapText="1"/>
    </xf>
    <xf numFmtId="0" fontId="36" fillId="0" borderId="17" xfId="0" applyFont="1" applyFill="1" applyBorder="1" applyAlignment="1">
      <alignment vertical="top" wrapText="1"/>
    </xf>
    <xf numFmtId="0" fontId="36" fillId="0" borderId="51" xfId="0" applyFont="1" applyFill="1" applyBorder="1" applyAlignment="1">
      <alignment vertical="top" wrapText="1"/>
    </xf>
    <xf numFmtId="0" fontId="33" fillId="0" borderId="34" xfId="0" applyFont="1" applyFill="1" applyBorder="1" applyAlignment="1">
      <alignment horizontal="left" vertical="top" wrapText="1"/>
    </xf>
    <xf numFmtId="0" fontId="35" fillId="0" borderId="17" xfId="0" applyFont="1" applyFill="1" applyBorder="1" applyAlignment="1">
      <alignment horizontal="left" vertical="top" wrapText="1"/>
    </xf>
    <xf numFmtId="0" fontId="35" fillId="0" borderId="51" xfId="0" applyFont="1" applyFill="1" applyBorder="1" applyAlignment="1">
      <alignment horizontal="left" vertical="top" wrapText="1"/>
    </xf>
    <xf numFmtId="0" fontId="6" fillId="0" borderId="23" xfId="0" applyNumberFormat="1" applyFont="1" applyBorder="1" applyAlignment="1">
      <alignment horizontal="center" vertical="top"/>
    </xf>
    <xf numFmtId="0" fontId="6" fillId="0" borderId="56" xfId="0" applyNumberFormat="1" applyFont="1" applyBorder="1" applyAlignment="1">
      <alignment horizontal="center" vertical="top"/>
    </xf>
    <xf numFmtId="0" fontId="33" fillId="0" borderId="42" xfId="0" applyFont="1" applyFill="1" applyBorder="1" applyAlignment="1">
      <alignment horizontal="left" vertical="top" wrapText="1"/>
    </xf>
    <xf numFmtId="0" fontId="33" fillId="0" borderId="0" xfId="0" applyFont="1" applyFill="1" applyBorder="1" applyAlignment="1">
      <alignment horizontal="left" vertical="top" wrapText="1"/>
    </xf>
    <xf numFmtId="0" fontId="7" fillId="3" borderId="82" xfId="0" applyFont="1" applyFill="1" applyBorder="1" applyAlignment="1">
      <alignment horizontal="left" vertical="top" wrapText="1"/>
    </xf>
    <xf numFmtId="0" fontId="3" fillId="0" borderId="23" xfId="0" applyNumberFormat="1" applyFont="1" applyBorder="1" applyAlignment="1">
      <alignment horizontal="center" vertical="top"/>
    </xf>
    <xf numFmtId="0" fontId="3" fillId="0" borderId="78" xfId="0" applyNumberFormat="1" applyFont="1" applyBorder="1" applyAlignment="1">
      <alignment horizontal="center" vertical="top"/>
    </xf>
    <xf numFmtId="49" fontId="7" fillId="0" borderId="67" xfId="0" applyNumberFormat="1" applyFont="1" applyBorder="1" applyAlignment="1">
      <alignment horizontal="center" vertical="top"/>
    </xf>
    <xf numFmtId="49" fontId="7" fillId="0" borderId="21" xfId="0" applyNumberFormat="1" applyFont="1" applyBorder="1" applyAlignment="1">
      <alignment horizontal="center" vertical="top"/>
    </xf>
    <xf numFmtId="49" fontId="7" fillId="0" borderId="68" xfId="0" applyNumberFormat="1" applyFont="1" applyBorder="1" applyAlignment="1">
      <alignment horizontal="center" vertical="top"/>
    </xf>
    <xf numFmtId="49" fontId="6" fillId="0" borderId="0" xfId="0" applyNumberFormat="1" applyFont="1" applyBorder="1" applyAlignment="1">
      <alignment horizontal="center" vertical="top"/>
    </xf>
    <xf numFmtId="49" fontId="6" fillId="0" borderId="64" xfId="0" applyNumberFormat="1" applyFont="1" applyBorder="1" applyAlignment="1">
      <alignment horizontal="center" vertical="top"/>
    </xf>
    <xf numFmtId="49" fontId="6" fillId="0" borderId="31"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49" fontId="6" fillId="0" borderId="60" xfId="0" applyNumberFormat="1" applyFont="1" applyBorder="1" applyAlignment="1">
      <alignment horizontal="center" vertical="top" wrapText="1"/>
    </xf>
    <xf numFmtId="49" fontId="7" fillId="0" borderId="0" xfId="0" applyNumberFormat="1" applyFont="1" applyBorder="1" applyAlignment="1">
      <alignment horizontal="center" vertical="top"/>
    </xf>
    <xf numFmtId="0" fontId="33" fillId="0" borderId="5" xfId="0" applyFont="1" applyFill="1" applyBorder="1" applyAlignment="1">
      <alignment vertical="top" wrapText="1"/>
    </xf>
    <xf numFmtId="0" fontId="33" fillId="0" borderId="11" xfId="0" applyFont="1" applyFill="1" applyBorder="1" applyAlignment="1">
      <alignment vertical="top" wrapText="1"/>
    </xf>
    <xf numFmtId="49" fontId="4" fillId="4" borderId="66" xfId="0" applyNumberFormat="1" applyFont="1" applyFill="1" applyBorder="1" applyAlignment="1">
      <alignment horizontal="center" vertical="top"/>
    </xf>
    <xf numFmtId="49" fontId="4" fillId="4" borderId="45" xfId="0" applyNumberFormat="1" applyFont="1" applyFill="1" applyBorder="1" applyAlignment="1">
      <alignment horizontal="center" vertical="top"/>
    </xf>
    <xf numFmtId="0" fontId="6" fillId="0" borderId="33" xfId="0" applyFont="1" applyFill="1" applyBorder="1" applyAlignment="1">
      <alignment horizontal="center" vertical="top" textRotation="180" wrapText="1"/>
    </xf>
    <xf numFmtId="0" fontId="6" fillId="0" borderId="18" xfId="0" applyFont="1" applyFill="1" applyBorder="1" applyAlignment="1">
      <alignment horizontal="center" vertical="top" textRotation="180" wrapText="1"/>
    </xf>
    <xf numFmtId="49" fontId="6" fillId="0" borderId="31" xfId="0" applyNumberFormat="1" applyFont="1" applyBorder="1" applyAlignment="1">
      <alignment horizontal="center" vertical="top"/>
    </xf>
    <xf numFmtId="49" fontId="6" fillId="0" borderId="20" xfId="0" applyNumberFormat="1" applyFont="1" applyBorder="1" applyAlignment="1">
      <alignment horizontal="center" vertical="top"/>
    </xf>
    <xf numFmtId="49" fontId="4" fillId="0" borderId="67" xfId="0" applyNumberFormat="1" applyFont="1" applyBorder="1" applyAlignment="1">
      <alignment horizontal="center" vertical="top"/>
    </xf>
    <xf numFmtId="49" fontId="4" fillId="4" borderId="6" xfId="0" applyNumberFormat="1" applyFont="1" applyFill="1" applyBorder="1" applyAlignment="1">
      <alignment horizontal="center" vertical="top"/>
    </xf>
    <xf numFmtId="49" fontId="4" fillId="4" borderId="75" xfId="0" applyNumberFormat="1" applyFont="1" applyFill="1" applyBorder="1" applyAlignment="1">
      <alignment horizontal="center" vertical="top"/>
    </xf>
    <xf numFmtId="49" fontId="4" fillId="0" borderId="50" xfId="0" applyNumberFormat="1" applyFont="1" applyBorder="1" applyAlignment="1">
      <alignment horizontal="center" vertical="top"/>
    </xf>
    <xf numFmtId="49" fontId="4" fillId="4" borderId="79" xfId="0" applyNumberFormat="1" applyFont="1" applyFill="1" applyBorder="1" applyAlignment="1">
      <alignment horizontal="center" vertical="top"/>
    </xf>
    <xf numFmtId="49" fontId="6" fillId="0" borderId="42" xfId="0" applyNumberFormat="1" applyFont="1" applyBorder="1" applyAlignment="1">
      <alignment horizontal="center" vertical="top"/>
    </xf>
    <xf numFmtId="0" fontId="11" fillId="0" borderId="0" xfId="0" applyFont="1" applyAlignment="1">
      <alignment horizontal="right" vertical="top"/>
    </xf>
    <xf numFmtId="0" fontId="3" fillId="0" borderId="0" xfId="0" applyFont="1" applyAlignment="1">
      <alignment horizontal="center" vertical="top"/>
    </xf>
    <xf numFmtId="0" fontId="4" fillId="0" borderId="0" xfId="0" applyFont="1" applyAlignment="1">
      <alignment horizontal="center" vertical="top" wrapText="1"/>
    </xf>
    <xf numFmtId="0" fontId="3" fillId="0" borderId="0" xfId="0" applyFont="1" applyBorder="1" applyAlignment="1">
      <alignment horizontal="center" vertical="top" wrapText="1"/>
    </xf>
    <xf numFmtId="0" fontId="6" fillId="0" borderId="64" xfId="0" applyFont="1" applyBorder="1" applyAlignment="1">
      <alignment horizontal="right" vertical="top" wrapText="1"/>
    </xf>
    <xf numFmtId="0" fontId="3" fillId="0" borderId="2" xfId="0" applyFont="1" applyBorder="1" applyAlignment="1">
      <alignment horizontal="center" vertical="center"/>
    </xf>
    <xf numFmtId="0" fontId="3" fillId="0" borderId="1" xfId="0" applyFont="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47" xfId="0" applyFont="1" applyBorder="1" applyAlignment="1">
      <alignment horizontal="center" vertical="center" textRotation="90" wrapText="1"/>
    </xf>
    <xf numFmtId="0" fontId="2" fillId="0" borderId="26" xfId="0" applyFont="1" applyFill="1" applyBorder="1" applyAlignment="1">
      <alignment horizontal="center" vertical="center" textRotation="90" wrapText="1"/>
    </xf>
    <xf numFmtId="0" fontId="2" fillId="0" borderId="68"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3" fillId="0" borderId="12" xfId="0" applyFont="1" applyBorder="1" applyAlignment="1">
      <alignment horizontal="center" vertical="center" textRotation="90" wrapText="1"/>
    </xf>
    <xf numFmtId="0" fontId="3" fillId="0" borderId="62" xfId="0" applyFont="1" applyBorder="1" applyAlignment="1">
      <alignment horizontal="center" vertical="center" textRotation="90" wrapText="1"/>
    </xf>
    <xf numFmtId="0" fontId="3" fillId="0" borderId="34" xfId="0" applyFont="1" applyBorder="1" applyAlignment="1">
      <alignment horizontal="center" vertical="center" textRotation="90" wrapText="1"/>
    </xf>
    <xf numFmtId="0" fontId="3" fillId="0" borderId="17" xfId="0" applyFont="1" applyBorder="1" applyAlignment="1">
      <alignment horizontal="center" vertical="center" textRotation="90" wrapText="1"/>
    </xf>
    <xf numFmtId="0" fontId="3" fillId="0" borderId="51" xfId="0" applyFont="1" applyBorder="1" applyAlignment="1">
      <alignment horizontal="center" vertical="center" textRotation="90"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6" xfId="0" applyFont="1" applyBorder="1" applyAlignment="1">
      <alignment horizontal="center" vertical="center" textRotation="90" wrapText="1"/>
    </xf>
    <xf numFmtId="0" fontId="3" fillId="0" borderId="24" xfId="0" applyFont="1" applyBorder="1" applyAlignment="1">
      <alignment horizontal="center" vertical="center" textRotation="90" wrapText="1"/>
    </xf>
    <xf numFmtId="0" fontId="3" fillId="0" borderId="75" xfId="0" applyFont="1" applyBorder="1" applyAlignment="1">
      <alignment horizontal="center" vertical="center" textRotation="90" wrapText="1"/>
    </xf>
    <xf numFmtId="49" fontId="4" fillId="5" borderId="64" xfId="0" applyNumberFormat="1" applyFont="1" applyFill="1" applyBorder="1" applyAlignment="1">
      <alignment horizontal="right" vertical="top"/>
    </xf>
    <xf numFmtId="49" fontId="4" fillId="5" borderId="78" xfId="0" applyNumberFormat="1" applyFont="1" applyFill="1" applyBorder="1" applyAlignment="1">
      <alignment horizontal="right" vertical="top"/>
    </xf>
    <xf numFmtId="49" fontId="6" fillId="0" borderId="42" xfId="0" applyNumberFormat="1" applyFont="1" applyFill="1" applyBorder="1" applyAlignment="1">
      <alignment horizontal="center" vertical="top"/>
    </xf>
    <xf numFmtId="49" fontId="6" fillId="0" borderId="0" xfId="0" applyNumberFormat="1" applyFont="1" applyFill="1" applyBorder="1" applyAlignment="1">
      <alignment horizontal="center" vertical="top"/>
    </xf>
    <xf numFmtId="49" fontId="4" fillId="3" borderId="63" xfId="0" applyNumberFormat="1" applyFont="1" applyFill="1" applyBorder="1" applyAlignment="1">
      <alignment horizontal="left" vertical="top" wrapText="1"/>
    </xf>
    <xf numFmtId="49" fontId="4" fillId="3" borderId="38" xfId="0" applyNumberFormat="1" applyFont="1" applyFill="1" applyBorder="1" applyAlignment="1">
      <alignment horizontal="left" vertical="top" wrapText="1"/>
    </xf>
    <xf numFmtId="49" fontId="4" fillId="3" borderId="82" xfId="0" applyNumberFormat="1" applyFont="1" applyFill="1" applyBorder="1" applyAlignment="1">
      <alignment horizontal="left" vertical="top" wrapText="1"/>
    </xf>
    <xf numFmtId="0" fontId="3" fillId="0" borderId="3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60" xfId="0" applyFont="1" applyBorder="1" applyAlignment="1">
      <alignment horizontal="center" vertical="center" textRotation="90" wrapText="1"/>
    </xf>
    <xf numFmtId="0" fontId="3" fillId="0" borderId="3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60" xfId="0" applyFont="1" applyBorder="1" applyAlignment="1">
      <alignment horizontal="center" vertical="center" wrapText="1"/>
    </xf>
    <xf numFmtId="49" fontId="4" fillId="6" borderId="30" xfId="0" applyNumberFormat="1" applyFont="1" applyFill="1" applyBorder="1" applyAlignment="1">
      <alignment horizontal="left" vertical="top" wrapText="1"/>
    </xf>
    <xf numFmtId="49" fontId="4" fillId="6" borderId="38" xfId="0" applyNumberFormat="1" applyFont="1" applyFill="1" applyBorder="1" applyAlignment="1">
      <alignment horizontal="left" vertical="top" wrapText="1"/>
    </xf>
    <xf numFmtId="0" fontId="5" fillId="0" borderId="38" xfId="0" applyFont="1" applyBorder="1" applyAlignment="1">
      <alignment vertical="top"/>
    </xf>
    <xf numFmtId="0" fontId="5" fillId="0" borderId="82" xfId="0" applyFont="1" applyBorder="1" applyAlignment="1">
      <alignment vertical="top"/>
    </xf>
    <xf numFmtId="0" fontId="3" fillId="0" borderId="42" xfId="0" applyFont="1" applyBorder="1" applyAlignment="1">
      <alignment horizontal="center" vertical="center" textRotation="90" wrapText="1"/>
    </xf>
    <xf numFmtId="0" fontId="3" fillId="0" borderId="0" xfId="0" applyFont="1" applyBorder="1" applyAlignment="1">
      <alignment horizontal="center" vertical="center" textRotation="90" wrapText="1"/>
    </xf>
    <xf numFmtId="0" fontId="3" fillId="0" borderId="64" xfId="0" applyFont="1" applyBorder="1" applyAlignment="1">
      <alignment horizontal="center" vertical="center" textRotation="90" wrapText="1"/>
    </xf>
    <xf numFmtId="0" fontId="3" fillId="0" borderId="23" xfId="0" applyNumberFormat="1" applyFont="1" applyBorder="1" applyAlignment="1">
      <alignment horizontal="center" vertical="center" textRotation="90" wrapText="1"/>
    </xf>
    <xf numFmtId="0" fontId="3" fillId="0" borderId="56" xfId="0" applyNumberFormat="1" applyFont="1" applyBorder="1" applyAlignment="1">
      <alignment horizontal="center" vertical="center" textRotation="90" wrapText="1"/>
    </xf>
    <xf numFmtId="0" fontId="3" fillId="0" borderId="78" xfId="0" applyNumberFormat="1" applyFont="1" applyBorder="1" applyAlignment="1">
      <alignment horizontal="center" vertical="center" textRotation="90" wrapText="1"/>
    </xf>
    <xf numFmtId="0" fontId="4" fillId="0" borderId="19" xfId="0" applyFont="1" applyBorder="1" applyAlignment="1">
      <alignment horizontal="center" vertical="center" wrapText="1"/>
    </xf>
    <xf numFmtId="0" fontId="7" fillId="4" borderId="38" xfId="0" applyFont="1" applyFill="1" applyBorder="1" applyAlignment="1">
      <alignment horizontal="left" vertical="center"/>
    </xf>
    <xf numFmtId="0" fontId="7" fillId="4" borderId="82" xfId="0" applyFont="1" applyFill="1" applyBorder="1" applyAlignment="1">
      <alignment horizontal="left" vertical="center"/>
    </xf>
    <xf numFmtId="0" fontId="12" fillId="5" borderId="30" xfId="0" applyFont="1" applyFill="1" applyBorder="1" applyAlignment="1">
      <alignment horizontal="left" vertical="top" wrapText="1"/>
    </xf>
    <xf numFmtId="49" fontId="4" fillId="3" borderId="13" xfId="0" applyNumberFormat="1" applyFont="1" applyFill="1" applyBorder="1" applyAlignment="1">
      <alignment horizontal="center" vertical="top"/>
    </xf>
    <xf numFmtId="49" fontId="4" fillId="3" borderId="52" xfId="0" applyNumberFormat="1" applyFont="1" applyFill="1" applyBorder="1" applyAlignment="1">
      <alignment horizontal="center" vertical="top"/>
    </xf>
    <xf numFmtId="49" fontId="4" fillId="3" borderId="55" xfId="0" applyNumberFormat="1" applyFont="1" applyFill="1" applyBorder="1" applyAlignment="1">
      <alignment horizontal="center" vertical="top"/>
    </xf>
    <xf numFmtId="49" fontId="4" fillId="3" borderId="81" xfId="0" applyNumberFormat="1" applyFont="1" applyFill="1" applyBorder="1" applyAlignment="1">
      <alignment horizontal="center" vertical="top"/>
    </xf>
    <xf numFmtId="0" fontId="35" fillId="0" borderId="34" xfId="0" applyFont="1" applyFill="1" applyBorder="1" applyAlignment="1">
      <alignment horizontal="left" vertical="top" wrapText="1"/>
    </xf>
    <xf numFmtId="49" fontId="7" fillId="0" borderId="32" xfId="0" applyNumberFormat="1" applyFont="1" applyFill="1" applyBorder="1" applyAlignment="1">
      <alignment horizontal="center" vertical="top"/>
    </xf>
    <xf numFmtId="49" fontId="7" fillId="0" borderId="61" xfId="0" applyNumberFormat="1" applyFont="1" applyFill="1" applyBorder="1" applyAlignment="1">
      <alignment horizontal="center" vertical="top"/>
    </xf>
    <xf numFmtId="0" fontId="15" fillId="0" borderId="0" xfId="0" applyFont="1" applyFill="1" applyAlignment="1">
      <alignment horizontal="center" wrapText="1"/>
    </xf>
    <xf numFmtId="0" fontId="15" fillId="0" borderId="0" xfId="0" applyFont="1" applyAlignment="1">
      <alignment horizontal="center" wrapText="1"/>
    </xf>
    <xf numFmtId="0" fontId="16" fillId="0" borderId="0" xfId="0" applyFont="1" applyAlignment="1">
      <alignment horizontal="center"/>
    </xf>
    <xf numFmtId="0" fontId="7" fillId="2" borderId="4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59" xfId="0" applyFont="1" applyBorder="1" applyAlignment="1">
      <alignment horizontal="center" vertical="center" wrapText="1"/>
    </xf>
    <xf numFmtId="0" fontId="19" fillId="0" borderId="2" xfId="2" applyFont="1" applyBorder="1" applyAlignment="1">
      <alignment horizontal="center" vertical="center" wrapText="1"/>
    </xf>
    <xf numFmtId="0" fontId="5" fillId="0" borderId="13" xfId="0" applyFont="1" applyBorder="1" applyAlignment="1">
      <alignment horizontal="center" vertical="center"/>
    </xf>
    <xf numFmtId="0" fontId="19" fillId="0" borderId="3" xfId="2" applyFont="1" applyBorder="1" applyAlignment="1">
      <alignment horizontal="center" vertical="center" wrapText="1"/>
    </xf>
    <xf numFmtId="0" fontId="5" fillId="0" borderId="28" xfId="0" applyFont="1" applyBorder="1" applyAlignment="1">
      <alignment horizontal="center" vertical="center" wrapText="1"/>
    </xf>
    <xf numFmtId="0" fontId="5" fillId="0" borderId="13" xfId="0" applyFont="1" applyBorder="1" applyAlignment="1">
      <alignment horizontal="center" vertical="center" wrapText="1"/>
    </xf>
    <xf numFmtId="0" fontId="19" fillId="0" borderId="13" xfId="2" applyFont="1" applyBorder="1" applyAlignment="1">
      <alignment horizontal="center" vertical="center" wrapText="1"/>
    </xf>
    <xf numFmtId="0" fontId="5" fillId="0" borderId="20" xfId="0" applyFont="1" applyBorder="1" applyAlignment="1">
      <alignment horizontal="center" vertical="center"/>
    </xf>
  </cellXfs>
  <cellStyles count="3">
    <cellStyle name="Įprastas" xfId="0" builtinId="0"/>
    <cellStyle name="Įprastas 2" xfId="1"/>
    <cellStyle name="Normal_biudz uz 2001 atskaitomybe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81"/>
  <sheetViews>
    <sheetView tabSelected="1" showWhiteSpace="0" zoomScaleNormal="100" zoomScaleSheetLayoutView="90" workbookViewId="0">
      <selection sqref="A1:V1"/>
    </sheetView>
  </sheetViews>
  <sheetFormatPr defaultRowHeight="12.75"/>
  <cols>
    <col min="1" max="3" width="2.42578125" style="76" customWidth="1"/>
    <col min="4" max="4" width="38.28515625" style="76" customWidth="1"/>
    <col min="5" max="5" width="2.7109375" style="76" customWidth="1"/>
    <col min="6" max="6" width="2.85546875" style="76" customWidth="1"/>
    <col min="7" max="7" width="3" style="201" customWidth="1"/>
    <col min="8" max="8" width="8.42578125" style="93" customWidth="1"/>
    <col min="9" max="9" width="8.42578125" style="76" customWidth="1"/>
    <col min="10" max="10" width="8.7109375" style="76" customWidth="1"/>
    <col min="11" max="11" width="8.42578125" style="76" customWidth="1"/>
    <col min="12" max="12" width="7.42578125" style="76" customWidth="1"/>
    <col min="13" max="13" width="8.42578125" style="77" customWidth="1"/>
    <col min="14" max="14" width="8.7109375" style="77" customWidth="1"/>
    <col min="15" max="15" width="8.5703125" style="77" customWidth="1"/>
    <col min="16" max="16" width="7.42578125" style="77" customWidth="1"/>
    <col min="17" max="17" width="8.140625" style="76" customWidth="1"/>
    <col min="18" max="18" width="8.42578125" style="76" customWidth="1"/>
    <col min="19" max="19" width="8.140625" style="76" customWidth="1"/>
    <col min="20" max="20" width="7.7109375" style="76" customWidth="1"/>
    <col min="21" max="21" width="9" style="76" customWidth="1"/>
    <col min="22" max="22" width="8.5703125" style="76" customWidth="1"/>
    <col min="23" max="16384" width="9.140625" style="32"/>
  </cols>
  <sheetData>
    <row r="1" spans="1:22" ht="12.75" customHeight="1">
      <c r="A1" s="1012" t="s">
        <v>73</v>
      </c>
      <c r="B1" s="1012"/>
      <c r="C1" s="1012"/>
      <c r="D1" s="1012"/>
      <c r="E1" s="1012"/>
      <c r="F1" s="1012"/>
      <c r="G1" s="1012"/>
      <c r="H1" s="1012"/>
      <c r="I1" s="1012"/>
      <c r="J1" s="1012"/>
      <c r="K1" s="1012"/>
      <c r="L1" s="1012"/>
      <c r="M1" s="1012"/>
      <c r="N1" s="1012"/>
      <c r="O1" s="1012"/>
      <c r="P1" s="1012"/>
      <c r="Q1" s="1012"/>
      <c r="R1" s="1012"/>
      <c r="S1" s="1012"/>
      <c r="T1" s="1012"/>
      <c r="U1" s="1012"/>
      <c r="V1" s="1012"/>
    </row>
    <row r="2" spans="1:22" ht="12.75" customHeight="1">
      <c r="A2" s="1013" t="s">
        <v>92</v>
      </c>
      <c r="B2" s="1013"/>
      <c r="C2" s="1013"/>
      <c r="D2" s="1013"/>
      <c r="E2" s="1013"/>
      <c r="F2" s="1013"/>
      <c r="G2" s="1013"/>
      <c r="H2" s="1013"/>
      <c r="I2" s="1013"/>
      <c r="J2" s="1013"/>
      <c r="K2" s="1013"/>
      <c r="L2" s="1013"/>
      <c r="M2" s="1013"/>
      <c r="N2" s="1013"/>
      <c r="O2" s="1013"/>
      <c r="P2" s="1013"/>
      <c r="Q2" s="1013"/>
      <c r="R2" s="1013"/>
      <c r="S2" s="1013"/>
      <c r="T2" s="1013"/>
      <c r="U2" s="1013"/>
      <c r="V2" s="1013"/>
    </row>
    <row r="3" spans="1:22" ht="17.25" customHeight="1">
      <c r="A3" s="1014" t="s">
        <v>69</v>
      </c>
      <c r="B3" s="1014"/>
      <c r="C3" s="1014"/>
      <c r="D3" s="1014"/>
      <c r="E3" s="1014"/>
      <c r="F3" s="1014"/>
      <c r="G3" s="1014"/>
      <c r="H3" s="1014"/>
      <c r="I3" s="1014"/>
      <c r="J3" s="1014"/>
      <c r="K3" s="1014"/>
      <c r="L3" s="1014"/>
      <c r="M3" s="1014"/>
      <c r="N3" s="1014"/>
      <c r="O3" s="1014"/>
      <c r="P3" s="1014"/>
      <c r="Q3" s="1014"/>
      <c r="R3" s="1014"/>
      <c r="S3" s="1014"/>
      <c r="T3" s="1014"/>
      <c r="U3" s="1014"/>
      <c r="V3" s="1014"/>
    </row>
    <row r="4" spans="1:22" ht="15" customHeight="1">
      <c r="A4" s="1015" t="s">
        <v>170</v>
      </c>
      <c r="B4" s="1015"/>
      <c r="C4" s="1015"/>
      <c r="D4" s="1015"/>
      <c r="E4" s="1015"/>
      <c r="F4" s="1015"/>
      <c r="G4" s="1015"/>
      <c r="H4" s="1015"/>
      <c r="I4" s="1015"/>
      <c r="J4" s="1015"/>
      <c r="K4" s="1015"/>
      <c r="L4" s="1015"/>
      <c r="M4" s="1015"/>
      <c r="N4" s="1015"/>
      <c r="O4" s="1015"/>
      <c r="P4" s="1015"/>
      <c r="Q4" s="1015"/>
      <c r="R4" s="1015"/>
      <c r="S4" s="1015"/>
      <c r="T4" s="1015"/>
      <c r="U4" s="1015"/>
      <c r="V4" s="1015"/>
    </row>
    <row r="5" spans="1:22" ht="15" customHeight="1" thickBot="1">
      <c r="A5" s="160"/>
      <c r="B5" s="160"/>
      <c r="C5" s="1016" t="s">
        <v>11</v>
      </c>
      <c r="D5" s="1016"/>
      <c r="E5" s="1016"/>
      <c r="F5" s="1016"/>
      <c r="G5" s="1016"/>
      <c r="H5" s="1016"/>
      <c r="I5" s="1016"/>
      <c r="J5" s="1016"/>
      <c r="K5" s="1016"/>
      <c r="L5" s="1016"/>
      <c r="M5" s="1016"/>
      <c r="N5" s="1016"/>
      <c r="O5" s="1016"/>
      <c r="P5" s="1016"/>
      <c r="Q5" s="1016"/>
      <c r="R5" s="1016"/>
      <c r="S5" s="1016"/>
      <c r="T5" s="1016"/>
      <c r="U5" s="1016"/>
      <c r="V5" s="1016"/>
    </row>
    <row r="6" spans="1:22" ht="36.75" customHeight="1">
      <c r="A6" s="1033" t="s">
        <v>16</v>
      </c>
      <c r="B6" s="1018" t="s">
        <v>18</v>
      </c>
      <c r="C6" s="1018" t="s">
        <v>19</v>
      </c>
      <c r="D6" s="1046" t="s">
        <v>37</v>
      </c>
      <c r="E6" s="1043" t="s">
        <v>20</v>
      </c>
      <c r="F6" s="1018" t="s">
        <v>228</v>
      </c>
      <c r="G6" s="1056" t="s">
        <v>21</v>
      </c>
      <c r="H6" s="1027" t="s">
        <v>22</v>
      </c>
      <c r="I6" s="1030" t="s">
        <v>93</v>
      </c>
      <c r="J6" s="1031"/>
      <c r="K6" s="1031"/>
      <c r="L6" s="1059"/>
      <c r="M6" s="1030" t="s">
        <v>111</v>
      </c>
      <c r="N6" s="1031"/>
      <c r="O6" s="1031"/>
      <c r="P6" s="1032"/>
      <c r="Q6" s="1030" t="s">
        <v>94</v>
      </c>
      <c r="R6" s="1031"/>
      <c r="S6" s="1031"/>
      <c r="T6" s="1032"/>
      <c r="U6" s="1053" t="s">
        <v>151</v>
      </c>
      <c r="V6" s="1027" t="s">
        <v>152</v>
      </c>
    </row>
    <row r="7" spans="1:22" ht="15" customHeight="1">
      <c r="A7" s="1034"/>
      <c r="B7" s="1019"/>
      <c r="C7" s="1019"/>
      <c r="D7" s="1047"/>
      <c r="E7" s="1044"/>
      <c r="F7" s="1019"/>
      <c r="G7" s="1057"/>
      <c r="H7" s="1028"/>
      <c r="I7" s="1025" t="s">
        <v>23</v>
      </c>
      <c r="J7" s="1017" t="s">
        <v>24</v>
      </c>
      <c r="K7" s="1017"/>
      <c r="L7" s="1021" t="s">
        <v>36</v>
      </c>
      <c r="M7" s="1025" t="s">
        <v>23</v>
      </c>
      <c r="N7" s="1017" t="s">
        <v>24</v>
      </c>
      <c r="O7" s="1017"/>
      <c r="P7" s="1023" t="s">
        <v>36</v>
      </c>
      <c r="Q7" s="1025" t="s">
        <v>23</v>
      </c>
      <c r="R7" s="1017" t="s">
        <v>24</v>
      </c>
      <c r="S7" s="1017"/>
      <c r="T7" s="1023" t="s">
        <v>88</v>
      </c>
      <c r="U7" s="1054"/>
      <c r="V7" s="1028"/>
    </row>
    <row r="8" spans="1:22" ht="94.5" customHeight="1" thickBot="1">
      <c r="A8" s="1035"/>
      <c r="B8" s="1020"/>
      <c r="C8" s="1020"/>
      <c r="D8" s="1048"/>
      <c r="E8" s="1045"/>
      <c r="F8" s="1020"/>
      <c r="G8" s="1058"/>
      <c r="H8" s="1029"/>
      <c r="I8" s="1026"/>
      <c r="J8" s="100" t="s">
        <v>23</v>
      </c>
      <c r="K8" s="101" t="s">
        <v>38</v>
      </c>
      <c r="L8" s="1022"/>
      <c r="M8" s="1026"/>
      <c r="N8" s="102" t="s">
        <v>23</v>
      </c>
      <c r="O8" s="101" t="s">
        <v>38</v>
      </c>
      <c r="P8" s="1024"/>
      <c r="Q8" s="1026"/>
      <c r="R8" s="102" t="s">
        <v>23</v>
      </c>
      <c r="S8" s="101" t="s">
        <v>38</v>
      </c>
      <c r="T8" s="1024"/>
      <c r="U8" s="1055"/>
      <c r="V8" s="1029"/>
    </row>
    <row r="9" spans="1:22" ht="15.75" customHeight="1" thickBot="1">
      <c r="A9" s="1049" t="s">
        <v>84</v>
      </c>
      <c r="B9" s="1050"/>
      <c r="C9" s="1050"/>
      <c r="D9" s="1050"/>
      <c r="E9" s="1050"/>
      <c r="F9" s="1050"/>
      <c r="G9" s="1050"/>
      <c r="H9" s="1050"/>
      <c r="I9" s="1050"/>
      <c r="J9" s="1050"/>
      <c r="K9" s="1050"/>
      <c r="L9" s="1050"/>
      <c r="M9" s="1050"/>
      <c r="N9" s="1050"/>
      <c r="O9" s="1050"/>
      <c r="P9" s="1050"/>
      <c r="Q9" s="1050"/>
      <c r="R9" s="1050"/>
      <c r="S9" s="1050"/>
      <c r="T9" s="1050"/>
      <c r="U9" s="1051"/>
      <c r="V9" s="1052"/>
    </row>
    <row r="10" spans="1:22" ht="14.25" customHeight="1" thickBot="1">
      <c r="A10" s="1062" t="s">
        <v>70</v>
      </c>
      <c r="B10" s="1051"/>
      <c r="C10" s="1051"/>
      <c r="D10" s="1051"/>
      <c r="E10" s="1051"/>
      <c r="F10" s="1051"/>
      <c r="G10" s="1051"/>
      <c r="H10" s="1051"/>
      <c r="I10" s="1051"/>
      <c r="J10" s="1051"/>
      <c r="K10" s="1051"/>
      <c r="L10" s="1051"/>
      <c r="M10" s="1051"/>
      <c r="N10" s="1051"/>
      <c r="O10" s="1051"/>
      <c r="P10" s="1051"/>
      <c r="Q10" s="1051"/>
      <c r="R10" s="1051"/>
      <c r="S10" s="1051"/>
      <c r="T10" s="1051"/>
      <c r="U10" s="1051"/>
      <c r="V10" s="1052"/>
    </row>
    <row r="11" spans="1:22" ht="15.75" customHeight="1" thickBot="1">
      <c r="A11" s="193" t="s">
        <v>25</v>
      </c>
      <c r="B11" s="1060" t="s">
        <v>131</v>
      </c>
      <c r="C11" s="1060"/>
      <c r="D11" s="1060"/>
      <c r="E11" s="1060"/>
      <c r="F11" s="1060"/>
      <c r="G11" s="1060"/>
      <c r="H11" s="1060"/>
      <c r="I11" s="1060"/>
      <c r="J11" s="1060"/>
      <c r="K11" s="1060"/>
      <c r="L11" s="1060"/>
      <c r="M11" s="1060"/>
      <c r="N11" s="1060"/>
      <c r="O11" s="1060"/>
      <c r="P11" s="1060"/>
      <c r="Q11" s="1060"/>
      <c r="R11" s="1060"/>
      <c r="S11" s="1060"/>
      <c r="T11" s="1060"/>
      <c r="U11" s="1060"/>
      <c r="V11" s="1061"/>
    </row>
    <row r="12" spans="1:22" ht="18" customHeight="1" thickBot="1">
      <c r="A12" s="245" t="s">
        <v>25</v>
      </c>
      <c r="B12" s="194" t="s">
        <v>25</v>
      </c>
      <c r="C12" s="916" t="s">
        <v>138</v>
      </c>
      <c r="D12" s="916"/>
      <c r="E12" s="916"/>
      <c r="F12" s="916"/>
      <c r="G12" s="916"/>
      <c r="H12" s="916"/>
      <c r="I12" s="916"/>
      <c r="J12" s="916"/>
      <c r="K12" s="916"/>
      <c r="L12" s="916"/>
      <c r="M12" s="916"/>
      <c r="N12" s="916"/>
      <c r="O12" s="916"/>
      <c r="P12" s="916"/>
      <c r="Q12" s="916"/>
      <c r="R12" s="916"/>
      <c r="S12" s="916"/>
      <c r="T12" s="916"/>
      <c r="U12" s="916"/>
      <c r="V12" s="986"/>
    </row>
    <row r="13" spans="1:22" ht="14.25" customHeight="1">
      <c r="A13" s="250" t="s">
        <v>25</v>
      </c>
      <c r="B13" s="195" t="s">
        <v>25</v>
      </c>
      <c r="C13" s="989" t="s">
        <v>25</v>
      </c>
      <c r="D13" s="979" t="s">
        <v>240</v>
      </c>
      <c r="E13" s="950"/>
      <c r="F13" s="994" t="s">
        <v>26</v>
      </c>
      <c r="G13" s="1011" t="s">
        <v>90</v>
      </c>
      <c r="H13" s="99" t="s">
        <v>27</v>
      </c>
      <c r="I13" s="45">
        <f>J13+L13</f>
        <v>30337</v>
      </c>
      <c r="J13" s="9">
        <v>30337</v>
      </c>
      <c r="K13" s="9">
        <v>20582.7</v>
      </c>
      <c r="L13" s="38"/>
      <c r="M13" s="11">
        <f>N13+P13</f>
        <v>29760.6</v>
      </c>
      <c r="N13" s="12">
        <v>29760.6</v>
      </c>
      <c r="O13" s="12">
        <v>19676.400000000001</v>
      </c>
      <c r="P13" s="10"/>
      <c r="Q13" s="699">
        <f>R13+T13</f>
        <v>27646.899999999998</v>
      </c>
      <c r="R13" s="682">
        <f>27641.1-7.4+5.8</f>
        <v>27639.499999999996</v>
      </c>
      <c r="S13" s="682">
        <f>18680.4-11.2-48.9</f>
        <v>18620.3</v>
      </c>
      <c r="T13" s="512">
        <f>7.4</f>
        <v>7.4</v>
      </c>
      <c r="U13" s="48">
        <v>29806</v>
      </c>
      <c r="V13" s="30">
        <v>29806</v>
      </c>
    </row>
    <row r="14" spans="1:22" ht="14.25" customHeight="1">
      <c r="A14" s="251"/>
      <c r="B14" s="253"/>
      <c r="C14" s="990"/>
      <c r="D14" s="980"/>
      <c r="E14" s="951"/>
      <c r="F14" s="995"/>
      <c r="G14" s="992"/>
      <c r="H14" s="228" t="s">
        <v>30</v>
      </c>
      <c r="I14" s="320">
        <f>J14+L14</f>
        <v>15492</v>
      </c>
      <c r="J14" s="15">
        <v>15413.4</v>
      </c>
      <c r="K14" s="15">
        <v>11297.3</v>
      </c>
      <c r="L14" s="321">
        <v>78.599999999999994</v>
      </c>
      <c r="M14" s="16">
        <f>P14+N14</f>
        <v>17235.5</v>
      </c>
      <c r="N14" s="20">
        <v>17154.099999999999</v>
      </c>
      <c r="O14" s="20">
        <v>12587.6</v>
      </c>
      <c r="P14" s="307">
        <v>81.400000000000006</v>
      </c>
      <c r="Q14" s="698">
        <f>R14+T14</f>
        <v>17344.2</v>
      </c>
      <c r="R14" s="697">
        <f>17236+74.3</f>
        <v>17310.3</v>
      </c>
      <c r="S14" s="697">
        <f>12620.5+93.9</f>
        <v>12714.4</v>
      </c>
      <c r="T14" s="696">
        <f>48.8-14.9</f>
        <v>33.9</v>
      </c>
      <c r="U14" s="34">
        <v>17227</v>
      </c>
      <c r="V14" s="243">
        <v>17227</v>
      </c>
    </row>
    <row r="15" spans="1:22" ht="14.25" customHeight="1">
      <c r="A15" s="251"/>
      <c r="B15" s="253"/>
      <c r="C15" s="990"/>
      <c r="D15" s="980"/>
      <c r="E15" s="951"/>
      <c r="F15" s="995"/>
      <c r="G15" s="992"/>
      <c r="H15" s="95" t="s">
        <v>42</v>
      </c>
      <c r="I15" s="174">
        <f>J15+L15</f>
        <v>9127.6</v>
      </c>
      <c r="J15" s="19">
        <v>9127.6</v>
      </c>
      <c r="K15" s="19">
        <v>1140</v>
      </c>
      <c r="L15" s="65"/>
      <c r="M15" s="25">
        <f>N15+P15</f>
        <v>9317</v>
      </c>
      <c r="N15" s="20">
        <v>9317</v>
      </c>
      <c r="O15" s="20">
        <v>1147.8</v>
      </c>
      <c r="P15" s="24"/>
      <c r="Q15" s="700">
        <f>R15+T15</f>
        <v>9435</v>
      </c>
      <c r="R15" s="693">
        <f>9299.6+135.4</f>
        <v>9435</v>
      </c>
      <c r="S15" s="456">
        <v>1162.4000000000001</v>
      </c>
      <c r="T15" s="457"/>
      <c r="U15" s="34">
        <v>9229</v>
      </c>
      <c r="V15" s="150">
        <v>9229</v>
      </c>
    </row>
    <row r="16" spans="1:22" ht="14.25" customHeight="1">
      <c r="A16" s="251"/>
      <c r="B16" s="253"/>
      <c r="C16" s="990"/>
      <c r="D16" s="980"/>
      <c r="E16" s="951"/>
      <c r="F16" s="995"/>
      <c r="G16" s="992"/>
      <c r="H16" s="95" t="s">
        <v>85</v>
      </c>
      <c r="I16" s="174">
        <f>J16+L16</f>
        <v>325.60000000000002</v>
      </c>
      <c r="J16" s="23">
        <v>325.60000000000002</v>
      </c>
      <c r="K16" s="23"/>
      <c r="L16" s="65"/>
      <c r="M16" s="25"/>
      <c r="N16" s="26"/>
      <c r="O16" s="26"/>
      <c r="P16" s="24"/>
      <c r="Q16" s="458"/>
      <c r="R16" s="459"/>
      <c r="S16" s="459"/>
      <c r="T16" s="460"/>
      <c r="U16" s="173"/>
      <c r="V16" s="173"/>
    </row>
    <row r="17" spans="1:22" ht="14.25" customHeight="1" thickBot="1">
      <c r="A17" s="252"/>
      <c r="B17" s="254"/>
      <c r="C17" s="991"/>
      <c r="D17" s="981"/>
      <c r="E17" s="952"/>
      <c r="F17" s="996"/>
      <c r="G17" s="993"/>
      <c r="H17" s="484" t="s">
        <v>28</v>
      </c>
      <c r="I17" s="476">
        <f>L17+J17</f>
        <v>55282.2</v>
      </c>
      <c r="J17" s="473">
        <f t="shared" ref="J17:P17" si="0">SUM(J13:J16)</f>
        <v>55203.6</v>
      </c>
      <c r="K17" s="473">
        <f t="shared" si="0"/>
        <v>33020</v>
      </c>
      <c r="L17" s="549">
        <f t="shared" si="0"/>
        <v>78.599999999999994</v>
      </c>
      <c r="M17" s="475">
        <f t="shared" si="0"/>
        <v>56313.1</v>
      </c>
      <c r="N17" s="473">
        <f t="shared" si="0"/>
        <v>56231.7</v>
      </c>
      <c r="O17" s="473">
        <f t="shared" si="0"/>
        <v>33411.800000000003</v>
      </c>
      <c r="P17" s="539">
        <f t="shared" si="0"/>
        <v>81.400000000000006</v>
      </c>
      <c r="Q17" s="476">
        <f>R17+T17</f>
        <v>54426.1</v>
      </c>
      <c r="R17" s="473">
        <f>SUM(R13:R16)</f>
        <v>54384.799999999996</v>
      </c>
      <c r="S17" s="473">
        <f>SUM(S13:S16)</f>
        <v>32497.1</v>
      </c>
      <c r="T17" s="539">
        <f>SUM(T13:T16)</f>
        <v>41.3</v>
      </c>
      <c r="U17" s="493">
        <f>SUM(U13:U16)</f>
        <v>56262</v>
      </c>
      <c r="V17" s="493">
        <f>SUM(V13:V16)</f>
        <v>56262</v>
      </c>
    </row>
    <row r="18" spans="1:22" ht="14.25" customHeight="1">
      <c r="A18" s="919" t="s">
        <v>25</v>
      </c>
      <c r="B18" s="195" t="s">
        <v>25</v>
      </c>
      <c r="C18" s="997" t="s">
        <v>29</v>
      </c>
      <c r="D18" s="979" t="s">
        <v>243</v>
      </c>
      <c r="E18" s="951"/>
      <c r="F18" s="994" t="s">
        <v>26</v>
      </c>
      <c r="G18" s="992" t="s">
        <v>90</v>
      </c>
      <c r="H18" s="99" t="s">
        <v>27</v>
      </c>
      <c r="I18" s="45">
        <f>J18+L18</f>
        <v>6194.7</v>
      </c>
      <c r="J18" s="9">
        <f>5866+328.7</f>
        <v>6194.7</v>
      </c>
      <c r="K18" s="9">
        <f>4001.1+197.2</f>
        <v>4198.3</v>
      </c>
      <c r="L18" s="38"/>
      <c r="M18" s="11">
        <f>N18+P18</f>
        <v>6296.9</v>
      </c>
      <c r="N18" s="299">
        <v>6296.9</v>
      </c>
      <c r="O18" s="12">
        <v>4169.8</v>
      </c>
      <c r="P18" s="10"/>
      <c r="Q18" s="699">
        <f>R18+T18</f>
        <v>5859.5</v>
      </c>
      <c r="R18" s="682">
        <f>5835.4+24.1</f>
        <v>5859.5</v>
      </c>
      <c r="S18" s="682">
        <f>3956.8+4.4</f>
        <v>3961.2000000000003</v>
      </c>
      <c r="T18" s="512"/>
      <c r="U18" s="48">
        <v>6304</v>
      </c>
      <c r="V18" s="30">
        <v>6304</v>
      </c>
    </row>
    <row r="19" spans="1:22" ht="14.25" customHeight="1">
      <c r="A19" s="920"/>
      <c r="B19" s="253"/>
      <c r="C19" s="990"/>
      <c r="D19" s="980"/>
      <c r="E19" s="951"/>
      <c r="F19" s="995"/>
      <c r="G19" s="992"/>
      <c r="H19" s="228" t="s">
        <v>30</v>
      </c>
      <c r="I19" s="320">
        <f>J19+L19</f>
        <v>6268.2</v>
      </c>
      <c r="J19" s="15">
        <f>4412.8+1846.1</f>
        <v>6258.9</v>
      </c>
      <c r="K19" s="15">
        <f>3241.5+1377.3</f>
        <v>4618.8</v>
      </c>
      <c r="L19" s="321">
        <v>9.3000000000000007</v>
      </c>
      <c r="M19" s="16">
        <f>N19+P19</f>
        <v>6273.3</v>
      </c>
      <c r="N19" s="17">
        <v>6266.7</v>
      </c>
      <c r="O19" s="17">
        <v>4613.8999999999996</v>
      </c>
      <c r="P19" s="312">
        <v>6.6</v>
      </c>
      <c r="Q19" s="698">
        <f>R19+T19</f>
        <v>6263.7999999999993</v>
      </c>
      <c r="R19" s="697">
        <f>6261.4-6</f>
        <v>6255.4</v>
      </c>
      <c r="S19" s="697">
        <f>4619.9-2</f>
        <v>4617.8999999999996</v>
      </c>
      <c r="T19" s="696">
        <f>6.6+1.8</f>
        <v>8.4</v>
      </c>
      <c r="U19" s="69">
        <v>6272</v>
      </c>
      <c r="V19" s="243">
        <v>6272</v>
      </c>
    </row>
    <row r="20" spans="1:22" ht="14.25" customHeight="1">
      <c r="A20" s="920"/>
      <c r="B20" s="253"/>
      <c r="C20" s="990"/>
      <c r="D20" s="980"/>
      <c r="E20" s="951"/>
      <c r="F20" s="995"/>
      <c r="G20" s="992"/>
      <c r="H20" s="177" t="s">
        <v>42</v>
      </c>
      <c r="I20" s="322">
        <f>J20+L20</f>
        <v>1942.7</v>
      </c>
      <c r="J20" s="23">
        <v>1942.7</v>
      </c>
      <c r="K20" s="23">
        <v>326.60000000000002</v>
      </c>
      <c r="L20" s="40"/>
      <c r="M20" s="43">
        <f>N20+P20</f>
        <v>1828.4</v>
      </c>
      <c r="N20" s="26">
        <v>1828.4</v>
      </c>
      <c r="O20" s="26">
        <v>337.4</v>
      </c>
      <c r="P20" s="52"/>
      <c r="Q20" s="700">
        <f>R20+T20</f>
        <v>1924.8</v>
      </c>
      <c r="R20" s="693">
        <f>1902.2+22.6</f>
        <v>1924.8</v>
      </c>
      <c r="S20" s="693">
        <f>371.8+1.1</f>
        <v>372.90000000000003</v>
      </c>
      <c r="T20" s="457"/>
      <c r="U20" s="151">
        <v>2135</v>
      </c>
      <c r="V20" s="150">
        <v>2135</v>
      </c>
    </row>
    <row r="21" spans="1:22" ht="14.25" customHeight="1">
      <c r="A21" s="920"/>
      <c r="B21" s="253"/>
      <c r="C21" s="990"/>
      <c r="D21" s="980"/>
      <c r="E21" s="951"/>
      <c r="F21" s="995"/>
      <c r="G21" s="992"/>
      <c r="H21" s="95" t="s">
        <v>85</v>
      </c>
      <c r="I21" s="174">
        <f>J21+L21</f>
        <v>60.3</v>
      </c>
      <c r="J21" s="23">
        <v>60.3</v>
      </c>
      <c r="K21" s="23"/>
      <c r="L21" s="65"/>
      <c r="M21" s="25"/>
      <c r="N21" s="26"/>
      <c r="O21" s="26"/>
      <c r="P21" s="24"/>
      <c r="Q21" s="458"/>
      <c r="R21" s="459"/>
      <c r="S21" s="459"/>
      <c r="T21" s="460"/>
      <c r="U21" s="28"/>
      <c r="V21" s="173"/>
    </row>
    <row r="22" spans="1:22" ht="14.25" customHeight="1" thickBot="1">
      <c r="A22" s="921"/>
      <c r="B22" s="254"/>
      <c r="C22" s="991"/>
      <c r="D22" s="981"/>
      <c r="E22" s="952"/>
      <c r="F22" s="996"/>
      <c r="G22" s="993"/>
      <c r="H22" s="484" t="s">
        <v>28</v>
      </c>
      <c r="I22" s="474">
        <f>L22+J22</f>
        <v>14465.899999999998</v>
      </c>
      <c r="J22" s="473">
        <f t="shared" ref="J22:P22" si="1">SUM(J18:J21)</f>
        <v>14456.599999999999</v>
      </c>
      <c r="K22" s="474">
        <f t="shared" si="1"/>
        <v>9143.7000000000007</v>
      </c>
      <c r="L22" s="549">
        <f t="shared" si="1"/>
        <v>9.3000000000000007</v>
      </c>
      <c r="M22" s="475">
        <f t="shared" si="1"/>
        <v>14398.6</v>
      </c>
      <c r="N22" s="474">
        <f t="shared" si="1"/>
        <v>14391.999999999998</v>
      </c>
      <c r="O22" s="473">
        <f t="shared" si="1"/>
        <v>9121.1</v>
      </c>
      <c r="P22" s="493">
        <f t="shared" si="1"/>
        <v>6.6</v>
      </c>
      <c r="Q22" s="474">
        <f t="shared" ref="Q22:Q27" si="2">R22+T22</f>
        <v>14048.099999999999</v>
      </c>
      <c r="R22" s="473">
        <f>SUM(R18:R21)</f>
        <v>14039.699999999999</v>
      </c>
      <c r="S22" s="474">
        <f>SUM(S18:S21)</f>
        <v>8952</v>
      </c>
      <c r="T22" s="539">
        <f>SUM(T18:T21)</f>
        <v>8.4</v>
      </c>
      <c r="U22" s="480">
        <f>SUM(U18:U21)</f>
        <v>14711</v>
      </c>
      <c r="V22" s="493">
        <f>SUM(V18:V21)</f>
        <v>14711</v>
      </c>
    </row>
    <row r="23" spans="1:22" ht="14.25" customHeight="1">
      <c r="A23" s="919" t="s">
        <v>25</v>
      </c>
      <c r="B23" s="182" t="s">
        <v>25</v>
      </c>
      <c r="C23" s="894" t="s">
        <v>31</v>
      </c>
      <c r="D23" s="984" t="s">
        <v>134</v>
      </c>
      <c r="E23" s="950" t="s">
        <v>79</v>
      </c>
      <c r="F23" s="1004" t="s">
        <v>26</v>
      </c>
      <c r="G23" s="1038" t="s">
        <v>90</v>
      </c>
      <c r="H23" s="95" t="s">
        <v>27</v>
      </c>
      <c r="I23" s="22">
        <f t="shared" ref="I23:I28" si="3">J23+L23</f>
        <v>13814.699999999999</v>
      </c>
      <c r="J23" s="23">
        <f>14143.4-328.7</f>
        <v>13814.699999999999</v>
      </c>
      <c r="K23" s="23">
        <f>8769.2-197.2</f>
        <v>8572</v>
      </c>
      <c r="L23" s="27"/>
      <c r="M23" s="25">
        <f>P23+N23</f>
        <v>14442.300000000001</v>
      </c>
      <c r="N23" s="26">
        <f>5574.6+8867.7</f>
        <v>14442.300000000001</v>
      </c>
      <c r="O23" s="26">
        <f>3425.1+5468.1</f>
        <v>8893.2000000000007</v>
      </c>
      <c r="P23" s="24"/>
      <c r="Q23" s="675">
        <f t="shared" si="2"/>
        <v>13790.599999999999</v>
      </c>
      <c r="R23" s="669">
        <f>13444.8+345.8</f>
        <v>13790.599999999999</v>
      </c>
      <c r="S23" s="676">
        <f>8430.9+260.1</f>
        <v>8691</v>
      </c>
      <c r="T23" s="540"/>
      <c r="U23" s="117">
        <f>5487+8730</f>
        <v>14217</v>
      </c>
      <c r="V23" s="117">
        <f>5487+8730</f>
        <v>14217</v>
      </c>
    </row>
    <row r="24" spans="1:22" ht="14.25" customHeight="1">
      <c r="A24" s="920"/>
      <c r="B24" s="184"/>
      <c r="C24" s="904"/>
      <c r="D24" s="985"/>
      <c r="E24" s="951"/>
      <c r="F24" s="1005"/>
      <c r="G24" s="1039"/>
      <c r="H24" s="98" t="s">
        <v>30</v>
      </c>
      <c r="I24" s="106">
        <f t="shared" si="3"/>
        <v>84462.6</v>
      </c>
      <c r="J24" s="19">
        <f>82111.8+1812.1+2358.8-1846.1</f>
        <v>84436.6</v>
      </c>
      <c r="K24" s="19">
        <f>61251.2+1342.9+1774.4-1377.3</f>
        <v>62991.199999999997</v>
      </c>
      <c r="L24" s="107">
        <v>26</v>
      </c>
      <c r="M24" s="306">
        <f>P24+N24</f>
        <v>80679</v>
      </c>
      <c r="N24" s="20">
        <f>80619.9</f>
        <v>80619.899999999994</v>
      </c>
      <c r="O24" s="20">
        <f>60031</f>
        <v>60031</v>
      </c>
      <c r="P24" s="88">
        <f>41+18.1</f>
        <v>59.1</v>
      </c>
      <c r="Q24" s="702">
        <f t="shared" si="2"/>
        <v>78538.3</v>
      </c>
      <c r="R24" s="678">
        <f>79527.4-1180.4</f>
        <v>78347</v>
      </c>
      <c r="S24" s="678">
        <f>59430.3-1035.2</f>
        <v>58395.100000000006</v>
      </c>
      <c r="T24" s="701">
        <f>41+150.3</f>
        <v>191.3</v>
      </c>
      <c r="U24" s="108">
        <f>33708+44903+2055</f>
        <v>80666</v>
      </c>
      <c r="V24" s="108">
        <f>33708+44903+2055</f>
        <v>80666</v>
      </c>
    </row>
    <row r="25" spans="1:22" ht="14.25" customHeight="1">
      <c r="A25" s="920"/>
      <c r="B25" s="785"/>
      <c r="C25" s="904"/>
      <c r="D25" s="985"/>
      <c r="E25" s="951"/>
      <c r="F25" s="1005"/>
      <c r="G25" s="1039"/>
      <c r="H25" s="787" t="s">
        <v>30</v>
      </c>
      <c r="I25" s="718">
        <f t="shared" si="3"/>
        <v>2757</v>
      </c>
      <c r="J25" s="717">
        <v>2757</v>
      </c>
      <c r="K25" s="717">
        <v>1426.9</v>
      </c>
      <c r="L25" s="107"/>
      <c r="M25" s="306">
        <f>N25+P25</f>
        <v>2757</v>
      </c>
      <c r="N25" s="20">
        <v>2757</v>
      </c>
      <c r="O25" s="20">
        <v>1459.4</v>
      </c>
      <c r="P25" s="88"/>
      <c r="Q25" s="543">
        <f t="shared" si="2"/>
        <v>2647</v>
      </c>
      <c r="R25" s="491">
        <v>2647</v>
      </c>
      <c r="S25" s="491">
        <v>1401</v>
      </c>
      <c r="T25" s="786"/>
      <c r="U25" s="117">
        <v>2757</v>
      </c>
      <c r="V25" s="117">
        <v>2757</v>
      </c>
    </row>
    <row r="26" spans="1:22" ht="14.25" customHeight="1">
      <c r="A26" s="920"/>
      <c r="B26" s="184"/>
      <c r="C26" s="904"/>
      <c r="D26" s="985"/>
      <c r="E26" s="951"/>
      <c r="F26" s="1005"/>
      <c r="G26" s="1039"/>
      <c r="H26" s="249" t="s">
        <v>42</v>
      </c>
      <c r="I26" s="106">
        <f t="shared" si="3"/>
        <v>4059.5</v>
      </c>
      <c r="J26" s="19">
        <v>4051.5</v>
      </c>
      <c r="K26" s="19">
        <v>1112.4000000000001</v>
      </c>
      <c r="L26" s="107">
        <v>8</v>
      </c>
      <c r="M26" s="306">
        <f>P26+N26</f>
        <v>3668.3</v>
      </c>
      <c r="N26" s="20">
        <f>1304.7+2359.6</f>
        <v>3664.3</v>
      </c>
      <c r="O26" s="20">
        <f>459.6+578.4</f>
        <v>1038</v>
      </c>
      <c r="P26" s="307">
        <v>4</v>
      </c>
      <c r="Q26" s="703">
        <f t="shared" si="2"/>
        <v>3887.4</v>
      </c>
      <c r="R26" s="669">
        <f>3783.9+77</f>
        <v>3860.9</v>
      </c>
      <c r="S26" s="669">
        <f>1051+8.4</f>
        <v>1059.4000000000001</v>
      </c>
      <c r="T26" s="544">
        <f>17+9.5</f>
        <v>26.5</v>
      </c>
      <c r="U26" s="117">
        <f>1308+2354</f>
        <v>3662</v>
      </c>
      <c r="V26" s="117">
        <f>1308+2354</f>
        <v>3662</v>
      </c>
    </row>
    <row r="27" spans="1:22" s="187" customFormat="1" ht="14.25" customHeight="1">
      <c r="A27" s="920"/>
      <c r="B27" s="184"/>
      <c r="C27" s="904"/>
      <c r="D27" s="985"/>
      <c r="E27" s="951"/>
      <c r="F27" s="1005"/>
      <c r="G27" s="1039"/>
      <c r="H27" s="98" t="s">
        <v>17</v>
      </c>
      <c r="I27" s="106">
        <f t="shared" si="3"/>
        <v>100</v>
      </c>
      <c r="J27" s="19">
        <v>100</v>
      </c>
      <c r="K27" s="19"/>
      <c r="L27" s="107"/>
      <c r="M27" s="306">
        <f>P27+N27</f>
        <v>200</v>
      </c>
      <c r="N27" s="20">
        <v>200</v>
      </c>
      <c r="O27" s="20"/>
      <c r="P27" s="307"/>
      <c r="Q27" s="468">
        <f t="shared" si="2"/>
        <v>200</v>
      </c>
      <c r="R27" s="469">
        <v>200</v>
      </c>
      <c r="S27" s="470"/>
      <c r="T27" s="545"/>
      <c r="U27" s="202">
        <v>200</v>
      </c>
      <c r="V27" s="202">
        <v>200</v>
      </c>
    </row>
    <row r="28" spans="1:22" ht="14.25" customHeight="1">
      <c r="A28" s="920"/>
      <c r="B28" s="184"/>
      <c r="C28" s="904"/>
      <c r="D28" s="985"/>
      <c r="E28" s="951"/>
      <c r="F28" s="1005"/>
      <c r="G28" s="1039"/>
      <c r="H28" s="95" t="s">
        <v>85</v>
      </c>
      <c r="I28" s="22">
        <f t="shared" si="3"/>
        <v>796</v>
      </c>
      <c r="J28" s="23">
        <v>796</v>
      </c>
      <c r="K28" s="23"/>
      <c r="L28" s="27"/>
      <c r="M28" s="25"/>
      <c r="N28" s="26"/>
      <c r="O28" s="26"/>
      <c r="P28" s="24"/>
      <c r="Q28" s="543"/>
      <c r="R28" s="491"/>
      <c r="S28" s="491"/>
      <c r="T28" s="544"/>
      <c r="U28" s="117"/>
      <c r="V28" s="117"/>
    </row>
    <row r="29" spans="1:22" ht="14.25" customHeight="1" thickBot="1">
      <c r="A29" s="185"/>
      <c r="B29" s="254"/>
      <c r="C29" s="247"/>
      <c r="D29" s="248"/>
      <c r="E29" s="608"/>
      <c r="F29" s="613"/>
      <c r="G29" s="636"/>
      <c r="H29" s="484" t="s">
        <v>28</v>
      </c>
      <c r="I29" s="474">
        <f>L29+J29</f>
        <v>105989.8</v>
      </c>
      <c r="J29" s="473">
        <f t="shared" ref="J29:P29" si="4">SUM(J23:J28)</f>
        <v>105955.8</v>
      </c>
      <c r="K29" s="474">
        <f t="shared" si="4"/>
        <v>74102.499999999985</v>
      </c>
      <c r="L29" s="549">
        <f t="shared" si="4"/>
        <v>34</v>
      </c>
      <c r="M29" s="475">
        <f t="shared" si="4"/>
        <v>101746.6</v>
      </c>
      <c r="N29" s="474">
        <f t="shared" si="4"/>
        <v>101683.5</v>
      </c>
      <c r="O29" s="473">
        <f t="shared" si="4"/>
        <v>71421.599999999991</v>
      </c>
      <c r="P29" s="493">
        <f t="shared" si="4"/>
        <v>63.1</v>
      </c>
      <c r="Q29" s="479">
        <f t="shared" ref="Q29:Q34" si="5">R29+T29</f>
        <v>99063.3</v>
      </c>
      <c r="R29" s="478">
        <f>SUM(R23:R28)</f>
        <v>98845.5</v>
      </c>
      <c r="S29" s="479">
        <f>SUM(S23:S28)</f>
        <v>69546.5</v>
      </c>
      <c r="T29" s="546">
        <f>SUM(T23:T28)</f>
        <v>217.8</v>
      </c>
      <c r="U29" s="550">
        <f>SUM(U23:U28)</f>
        <v>101502</v>
      </c>
      <c r="V29" s="550">
        <f>SUM(V23:V28)</f>
        <v>101502</v>
      </c>
    </row>
    <row r="30" spans="1:22" ht="14.25" customHeight="1">
      <c r="A30" s="1000" t="s">
        <v>25</v>
      </c>
      <c r="B30" s="873" t="s">
        <v>25</v>
      </c>
      <c r="C30" s="1006" t="s">
        <v>33</v>
      </c>
      <c r="D30" s="998" t="s">
        <v>109</v>
      </c>
      <c r="E30" s="1002"/>
      <c r="F30" s="1004" t="s">
        <v>26</v>
      </c>
      <c r="G30" s="982">
        <v>2</v>
      </c>
      <c r="H30" s="206" t="s">
        <v>27</v>
      </c>
      <c r="I30" s="8">
        <f>J30+L30</f>
        <v>14868.5</v>
      </c>
      <c r="J30" s="9">
        <v>14868.5</v>
      </c>
      <c r="K30" s="9">
        <v>10981.8</v>
      </c>
      <c r="L30" s="13"/>
      <c r="M30" s="45">
        <f>N30+P30</f>
        <v>15088.8</v>
      </c>
      <c r="N30" s="12">
        <v>15088.8</v>
      </c>
      <c r="O30" s="12">
        <v>11163.3</v>
      </c>
      <c r="P30" s="96"/>
      <c r="Q30" s="683">
        <f t="shared" si="5"/>
        <v>14118.7</v>
      </c>
      <c r="R30" s="682">
        <f>14100.6+18.1</f>
        <v>14118.7</v>
      </c>
      <c r="S30" s="682">
        <f>10446.8+13.8</f>
        <v>10460.599999999999</v>
      </c>
      <c r="T30" s="512"/>
      <c r="U30" s="235">
        <v>15100</v>
      </c>
      <c r="V30" s="235">
        <v>15100</v>
      </c>
    </row>
    <row r="31" spans="1:22" ht="14.25" customHeight="1">
      <c r="A31" s="1001"/>
      <c r="B31" s="1063"/>
      <c r="C31" s="833"/>
      <c r="D31" s="999"/>
      <c r="E31" s="1003"/>
      <c r="F31" s="1005"/>
      <c r="G31" s="983"/>
      <c r="H31" s="97" t="s">
        <v>30</v>
      </c>
      <c r="I31" s="113">
        <f>J31+L31</f>
        <v>454.80000000000007</v>
      </c>
      <c r="J31" s="15">
        <f>233.3+47.3+163.1+11.1</f>
        <v>454.80000000000007</v>
      </c>
      <c r="K31" s="15">
        <f>168.8+36.1+118.1+8.3</f>
        <v>331.3</v>
      </c>
      <c r="L31" s="27"/>
      <c r="M31" s="33">
        <f>N31+P31</f>
        <v>460</v>
      </c>
      <c r="N31" s="19">
        <f>230.5+48+171.9+9.6</f>
        <v>460</v>
      </c>
      <c r="O31" s="19">
        <f>166.7+36.6+124.5+7.1</f>
        <v>334.9</v>
      </c>
      <c r="P31" s="58"/>
      <c r="Q31" s="704">
        <f t="shared" si="5"/>
        <v>458.8</v>
      </c>
      <c r="R31" s="697">
        <f>460-1.2</f>
        <v>458.8</v>
      </c>
      <c r="S31" s="697">
        <f>334.9-0.9</f>
        <v>334</v>
      </c>
      <c r="T31" s="460"/>
      <c r="U31" s="47">
        <f>230+48+172+10</f>
        <v>460</v>
      </c>
      <c r="V31" s="47">
        <f>230+48+172+10</f>
        <v>460</v>
      </c>
    </row>
    <row r="32" spans="1:22" ht="14.25" customHeight="1">
      <c r="A32" s="1001"/>
      <c r="B32" s="1063"/>
      <c r="C32" s="833"/>
      <c r="D32" s="999"/>
      <c r="E32" s="1003"/>
      <c r="F32" s="1005"/>
      <c r="G32" s="983"/>
      <c r="H32" s="213" t="s">
        <v>42</v>
      </c>
      <c r="I32" s="113">
        <f>J32+L32</f>
        <v>844.3</v>
      </c>
      <c r="J32" s="19">
        <f>749.9+13.4</f>
        <v>763.3</v>
      </c>
      <c r="K32" s="19">
        <v>198.3</v>
      </c>
      <c r="L32" s="58">
        <v>81</v>
      </c>
      <c r="M32" s="106">
        <f>N32+P32</f>
        <v>910.69999999999993</v>
      </c>
      <c r="N32" s="19">
        <v>823.8</v>
      </c>
      <c r="O32" s="19">
        <v>198.4</v>
      </c>
      <c r="P32" s="58">
        <v>86.9</v>
      </c>
      <c r="Q32" s="706">
        <f t="shared" si="5"/>
        <v>966.09999999999991</v>
      </c>
      <c r="R32" s="693">
        <f>826.3+47.9</f>
        <v>874.19999999999993</v>
      </c>
      <c r="S32" s="693">
        <f>198.4+25</f>
        <v>223.4</v>
      </c>
      <c r="T32" s="705">
        <f>96.9-5</f>
        <v>91.9</v>
      </c>
      <c r="U32" s="47">
        <v>910</v>
      </c>
      <c r="V32" s="236">
        <v>910</v>
      </c>
    </row>
    <row r="33" spans="1:25" ht="14.25" customHeight="1" thickBot="1">
      <c r="A33" s="241"/>
      <c r="B33" s="254"/>
      <c r="C33" s="255"/>
      <c r="D33" s="224"/>
      <c r="E33" s="611"/>
      <c r="F33" s="614"/>
      <c r="G33" s="639"/>
      <c r="H33" s="484" t="s">
        <v>28</v>
      </c>
      <c r="I33" s="474">
        <f>L33+J33</f>
        <v>16167.6</v>
      </c>
      <c r="J33" s="473">
        <f>J32+J31+J30</f>
        <v>16086.6</v>
      </c>
      <c r="K33" s="474">
        <f>K32+K31+K30</f>
        <v>11511.4</v>
      </c>
      <c r="L33" s="549">
        <f>+L32+L31+L30</f>
        <v>81</v>
      </c>
      <c r="M33" s="472">
        <f t="shared" ref="M33:V33" si="6">SUM(M30:M32)</f>
        <v>16459.5</v>
      </c>
      <c r="N33" s="473">
        <f t="shared" si="6"/>
        <v>16372.599999999999</v>
      </c>
      <c r="O33" s="474">
        <f t="shared" si="6"/>
        <v>11696.599999999999</v>
      </c>
      <c r="P33" s="473">
        <f t="shared" si="6"/>
        <v>86.9</v>
      </c>
      <c r="Q33" s="486">
        <f t="shared" si="5"/>
        <v>15543.6</v>
      </c>
      <c r="R33" s="479">
        <f>SUM(R30:R32)</f>
        <v>15451.7</v>
      </c>
      <c r="S33" s="478">
        <f>SUM(S30:S32)</f>
        <v>11017.999999999998</v>
      </c>
      <c r="T33" s="485">
        <f>SUM(T30:T32)</f>
        <v>91.9</v>
      </c>
      <c r="U33" s="486">
        <f t="shared" si="6"/>
        <v>16470</v>
      </c>
      <c r="V33" s="550">
        <f t="shared" si="6"/>
        <v>16470</v>
      </c>
    </row>
    <row r="34" spans="1:25" ht="15" customHeight="1" thickBot="1">
      <c r="A34" s="192" t="s">
        <v>25</v>
      </c>
      <c r="B34" s="181" t="s">
        <v>25</v>
      </c>
      <c r="C34" s="975" t="s">
        <v>32</v>
      </c>
      <c r="D34" s="975"/>
      <c r="E34" s="975"/>
      <c r="F34" s="975"/>
      <c r="G34" s="975"/>
      <c r="H34" s="828"/>
      <c r="I34" s="60">
        <f>L34+J34</f>
        <v>191905.5</v>
      </c>
      <c r="J34" s="84">
        <f t="shared" ref="J34:P34" si="7">J33+J29+J22+J17</f>
        <v>191702.6</v>
      </c>
      <c r="K34" s="80">
        <f t="shared" si="7"/>
        <v>127777.59999999998</v>
      </c>
      <c r="L34" s="84">
        <f t="shared" si="7"/>
        <v>202.89999999999998</v>
      </c>
      <c r="M34" s="60">
        <f t="shared" si="7"/>
        <v>188917.80000000002</v>
      </c>
      <c r="N34" s="84">
        <f t="shared" si="7"/>
        <v>188679.8</v>
      </c>
      <c r="O34" s="80">
        <f t="shared" si="7"/>
        <v>125651.09999999999</v>
      </c>
      <c r="P34" s="84">
        <f t="shared" si="7"/>
        <v>238</v>
      </c>
      <c r="Q34" s="29">
        <f t="shared" si="5"/>
        <v>183081.09999999998</v>
      </c>
      <c r="R34" s="80">
        <f>R33+R29+R22+R17</f>
        <v>182721.69999999998</v>
      </c>
      <c r="S34" s="84">
        <f>S33+S29+S22+S17</f>
        <v>122013.6</v>
      </c>
      <c r="T34" s="83">
        <f>T33+T29+T22+T17</f>
        <v>359.40000000000003</v>
      </c>
      <c r="U34" s="29">
        <f>U33+U29+U22+U17</f>
        <v>188945</v>
      </c>
      <c r="V34" s="67">
        <f>V33+V29+V22+V17</f>
        <v>188945</v>
      </c>
    </row>
    <row r="35" spans="1:25" ht="18.75" customHeight="1" thickBot="1">
      <c r="A35" s="192" t="s">
        <v>25</v>
      </c>
      <c r="B35" s="196" t="s">
        <v>29</v>
      </c>
      <c r="C35" s="1040" t="s">
        <v>97</v>
      </c>
      <c r="D35" s="1041"/>
      <c r="E35" s="1041"/>
      <c r="F35" s="1041"/>
      <c r="G35" s="1041"/>
      <c r="H35" s="1041"/>
      <c r="I35" s="1041"/>
      <c r="J35" s="1041"/>
      <c r="K35" s="1041"/>
      <c r="L35" s="1041"/>
      <c r="M35" s="1041"/>
      <c r="N35" s="1041"/>
      <c r="O35" s="1041"/>
      <c r="P35" s="1041"/>
      <c r="Q35" s="1041"/>
      <c r="R35" s="1041"/>
      <c r="S35" s="1041"/>
      <c r="T35" s="1041"/>
      <c r="U35" s="1041"/>
      <c r="V35" s="1042"/>
    </row>
    <row r="36" spans="1:25" ht="16.5" customHeight="1">
      <c r="A36" s="911" t="s">
        <v>25</v>
      </c>
      <c r="B36" s="856" t="s">
        <v>29</v>
      </c>
      <c r="C36" s="813" t="s">
        <v>25</v>
      </c>
      <c r="D36" s="976" t="s">
        <v>245</v>
      </c>
      <c r="E36" s="970" t="s">
        <v>82</v>
      </c>
      <c r="F36" s="724" t="s">
        <v>26</v>
      </c>
      <c r="G36" s="982">
        <v>2</v>
      </c>
      <c r="H36" s="7" t="s">
        <v>27</v>
      </c>
      <c r="I36" s="8">
        <f>J36+L36</f>
        <v>611.29999999999995</v>
      </c>
      <c r="J36" s="9">
        <v>611.29999999999995</v>
      </c>
      <c r="K36" s="9">
        <v>442.9</v>
      </c>
      <c r="L36" s="13"/>
      <c r="M36" s="11">
        <f>N36+P36</f>
        <v>624.1</v>
      </c>
      <c r="N36" s="9">
        <v>624.1</v>
      </c>
      <c r="O36" s="12">
        <v>450.7</v>
      </c>
      <c r="P36" s="10"/>
      <c r="Q36" s="699">
        <f t="shared" ref="Q36:Q41" si="8">R36+T36</f>
        <v>591.19999999999993</v>
      </c>
      <c r="R36" s="682">
        <f>590.8+0.4</f>
        <v>591.19999999999993</v>
      </c>
      <c r="S36" s="682">
        <f>428.5+0.3</f>
        <v>428.8</v>
      </c>
      <c r="T36" s="551"/>
      <c r="U36" s="48">
        <v>623</v>
      </c>
      <c r="V36" s="48">
        <v>623</v>
      </c>
    </row>
    <row r="37" spans="1:25" ht="16.5" customHeight="1">
      <c r="A37" s="930"/>
      <c r="B37" s="910"/>
      <c r="C37" s="913"/>
      <c r="D37" s="977"/>
      <c r="E37" s="939"/>
      <c r="F37" s="720"/>
      <c r="G37" s="983"/>
      <c r="H37" s="54" t="s">
        <v>30</v>
      </c>
      <c r="I37" s="106">
        <f>J37+L37</f>
        <v>617.79999999999995</v>
      </c>
      <c r="J37" s="19">
        <v>617.79999999999995</v>
      </c>
      <c r="K37" s="19">
        <v>471.4</v>
      </c>
      <c r="L37" s="27"/>
      <c r="M37" s="106">
        <f>N37+P37</f>
        <v>606.70000000000005</v>
      </c>
      <c r="N37" s="19">
        <v>606.70000000000005</v>
      </c>
      <c r="O37" s="19">
        <v>462.8</v>
      </c>
      <c r="P37" s="107"/>
      <c r="Q37" s="552">
        <f t="shared" si="8"/>
        <v>606</v>
      </c>
      <c r="R37" s="553">
        <v>606</v>
      </c>
      <c r="S37" s="553">
        <v>462.8</v>
      </c>
      <c r="T37" s="554"/>
      <c r="U37" s="47">
        <v>606</v>
      </c>
      <c r="V37" s="47">
        <v>606</v>
      </c>
    </row>
    <row r="38" spans="1:25" ht="16.5" customHeight="1">
      <c r="A38" s="930"/>
      <c r="B38" s="910"/>
      <c r="C38" s="913"/>
      <c r="D38" s="977"/>
      <c r="E38" s="939"/>
      <c r="F38" s="720"/>
      <c r="G38" s="756"/>
      <c r="H38" s="154" t="s">
        <v>42</v>
      </c>
      <c r="I38" s="91">
        <f>J38+L38</f>
        <v>0.8</v>
      </c>
      <c r="J38" s="65">
        <v>0.8</v>
      </c>
      <c r="K38" s="65"/>
      <c r="L38" s="27"/>
      <c r="M38" s="91"/>
      <c r="N38" s="65"/>
      <c r="O38" s="65"/>
      <c r="P38" s="27"/>
      <c r="Q38" s="555">
        <f t="shared" si="8"/>
        <v>1</v>
      </c>
      <c r="R38" s="554">
        <v>1</v>
      </c>
      <c r="S38" s="554"/>
      <c r="T38" s="554"/>
      <c r="U38" s="236"/>
      <c r="V38" s="236"/>
    </row>
    <row r="39" spans="1:25" ht="16.5" customHeight="1" thickBot="1">
      <c r="A39" s="912"/>
      <c r="B39" s="857"/>
      <c r="C39" s="814"/>
      <c r="D39" s="978"/>
      <c r="E39" s="940"/>
      <c r="F39" s="721"/>
      <c r="G39" s="640"/>
      <c r="H39" s="471" t="s">
        <v>28</v>
      </c>
      <c r="I39" s="472">
        <f>SUM(I36:I38)</f>
        <v>1229.8999999999999</v>
      </c>
      <c r="J39" s="549">
        <f>SUM(J36:J38)</f>
        <v>1229.8999999999999</v>
      </c>
      <c r="K39" s="549">
        <f>SUM(K36:K37)</f>
        <v>914.3</v>
      </c>
      <c r="L39" s="539"/>
      <c r="M39" s="472">
        <f>SUM(M36:M37)</f>
        <v>1230.8000000000002</v>
      </c>
      <c r="N39" s="549">
        <f>SUM(N36:N37)</f>
        <v>1230.8000000000002</v>
      </c>
      <c r="O39" s="549">
        <f>SUM(O36:O37)</f>
        <v>913.5</v>
      </c>
      <c r="P39" s="539"/>
      <c r="Q39" s="474">
        <f t="shared" si="8"/>
        <v>1198.1999999999998</v>
      </c>
      <c r="R39" s="549">
        <f>SUM(R36:R38)</f>
        <v>1198.1999999999998</v>
      </c>
      <c r="S39" s="549">
        <f>SUM(S36:S38)</f>
        <v>891.6</v>
      </c>
      <c r="T39" s="549"/>
      <c r="U39" s="480">
        <f>SUM(U36:U37)</f>
        <v>1229</v>
      </c>
      <c r="V39" s="480">
        <f>SUM(V36:V37)</f>
        <v>1229</v>
      </c>
    </row>
    <row r="40" spans="1:25" ht="13.5" customHeight="1">
      <c r="A40" s="215" t="s">
        <v>25</v>
      </c>
      <c r="B40" s="216" t="s">
        <v>29</v>
      </c>
      <c r="C40" s="217" t="s">
        <v>29</v>
      </c>
      <c r="D40" s="1067" t="s">
        <v>244</v>
      </c>
      <c r="E40" s="615"/>
      <c r="F40" s="619" t="s">
        <v>26</v>
      </c>
      <c r="G40" s="725" t="s">
        <v>90</v>
      </c>
      <c r="H40" s="99" t="s">
        <v>27</v>
      </c>
      <c r="I40" s="8">
        <f>J40+L40</f>
        <v>1072.8</v>
      </c>
      <c r="J40" s="9">
        <v>1072.8</v>
      </c>
      <c r="K40" s="9">
        <v>765.7</v>
      </c>
      <c r="L40" s="13"/>
      <c r="M40" s="313">
        <f>N40+P40</f>
        <v>1054.7</v>
      </c>
      <c r="N40" s="12">
        <v>1054.7</v>
      </c>
      <c r="O40" s="12">
        <v>744.3</v>
      </c>
      <c r="P40" s="96"/>
      <c r="Q40" s="683">
        <f t="shared" si="8"/>
        <v>998.8</v>
      </c>
      <c r="R40" s="682">
        <f>994.9+3.9</f>
        <v>998.8</v>
      </c>
      <c r="S40" s="682">
        <f>709.3+1.4</f>
        <v>710.69999999999993</v>
      </c>
      <c r="T40" s="556"/>
      <c r="U40" s="114">
        <v>1057</v>
      </c>
      <c r="V40" s="114">
        <v>1057</v>
      </c>
    </row>
    <row r="41" spans="1:25" ht="13.5" customHeight="1">
      <c r="A41" s="218"/>
      <c r="B41" s="219"/>
      <c r="C41" s="220"/>
      <c r="D41" s="980"/>
      <c r="E41" s="616"/>
      <c r="F41" s="620"/>
      <c r="G41" s="641"/>
      <c r="H41" s="98" t="s">
        <v>30</v>
      </c>
      <c r="I41" s="113">
        <f>J41+L41</f>
        <v>235.5</v>
      </c>
      <c r="J41" s="15">
        <v>235.5</v>
      </c>
      <c r="K41" s="19">
        <v>173.5</v>
      </c>
      <c r="L41" s="107"/>
      <c r="M41" s="306">
        <f>N41+P41</f>
        <v>246.9</v>
      </c>
      <c r="N41" s="20">
        <v>246.9</v>
      </c>
      <c r="O41" s="20">
        <v>184.2</v>
      </c>
      <c r="P41" s="148"/>
      <c r="Q41" s="557">
        <f t="shared" si="8"/>
        <v>251.1</v>
      </c>
      <c r="R41" s="553">
        <v>251.1</v>
      </c>
      <c r="S41" s="553">
        <v>187.4</v>
      </c>
      <c r="T41" s="558"/>
      <c r="U41" s="108">
        <v>268</v>
      </c>
      <c r="V41" s="108">
        <v>268</v>
      </c>
    </row>
    <row r="42" spans="1:25" ht="13.5" customHeight="1">
      <c r="A42" s="218"/>
      <c r="B42" s="219"/>
      <c r="C42" s="220"/>
      <c r="D42" s="980"/>
      <c r="E42" s="616"/>
      <c r="F42" s="620"/>
      <c r="G42" s="641"/>
      <c r="H42" s="214" t="s">
        <v>42</v>
      </c>
      <c r="I42" s="106">
        <f>J42+L42</f>
        <v>115</v>
      </c>
      <c r="J42" s="19">
        <f>114.2+0.8</f>
        <v>115</v>
      </c>
      <c r="K42" s="65">
        <v>19</v>
      </c>
      <c r="L42" s="107"/>
      <c r="M42" s="118">
        <f>N42+P42</f>
        <v>112.2</v>
      </c>
      <c r="N42" s="20">
        <v>112.2</v>
      </c>
      <c r="O42" s="20">
        <v>16.399999999999999</v>
      </c>
      <c r="P42" s="148"/>
      <c r="Q42" s="711">
        <f t="shared" ref="Q42:Q48" si="9">R42+T42</f>
        <v>114.39999999999999</v>
      </c>
      <c r="R42" s="692">
        <f>113.8+0.6</f>
        <v>114.39999999999999</v>
      </c>
      <c r="S42" s="553">
        <v>16.399999999999999</v>
      </c>
      <c r="T42" s="555"/>
      <c r="U42" s="117">
        <v>115</v>
      </c>
      <c r="V42" s="108">
        <v>115</v>
      </c>
    </row>
    <row r="43" spans="1:25" ht="13.5" customHeight="1" thickBot="1">
      <c r="A43" s="221"/>
      <c r="B43" s="222"/>
      <c r="C43" s="223"/>
      <c r="D43" s="981"/>
      <c r="E43" s="617"/>
      <c r="F43" s="621"/>
      <c r="G43" s="642"/>
      <c r="H43" s="566" t="s">
        <v>28</v>
      </c>
      <c r="I43" s="472">
        <f>SUM(I40:I42)</f>
        <v>1423.3</v>
      </c>
      <c r="J43" s="473">
        <f>SUM(J40:J42)</f>
        <v>1423.3</v>
      </c>
      <c r="K43" s="474">
        <f>SUM(K40:K42)</f>
        <v>958.2</v>
      </c>
      <c r="L43" s="539"/>
      <c r="M43" s="475">
        <f>SUM(M40:M42)</f>
        <v>1413.8000000000002</v>
      </c>
      <c r="N43" s="476">
        <f>SUM(N40:N42)</f>
        <v>1413.8000000000002</v>
      </c>
      <c r="O43" s="473">
        <f>SUM(O40:O42)</f>
        <v>944.9</v>
      </c>
      <c r="P43" s="549"/>
      <c r="Q43" s="472">
        <f>R43+T43</f>
        <v>1364.3</v>
      </c>
      <c r="R43" s="473">
        <f>SUM(R40:R42)</f>
        <v>1364.3</v>
      </c>
      <c r="S43" s="474">
        <f>SUM(S40:S42)</f>
        <v>914.49999999999989</v>
      </c>
      <c r="T43" s="539"/>
      <c r="U43" s="480">
        <f>SUM(U40:U42)</f>
        <v>1440</v>
      </c>
      <c r="V43" s="493">
        <f>SUM(V40:V42)</f>
        <v>1440</v>
      </c>
    </row>
    <row r="44" spans="1:25" ht="15" customHeight="1">
      <c r="A44" s="1007" t="s">
        <v>25</v>
      </c>
      <c r="B44" s="1064" t="s">
        <v>29</v>
      </c>
      <c r="C44" s="1009" t="s">
        <v>31</v>
      </c>
      <c r="D44" s="966" t="s">
        <v>246</v>
      </c>
      <c r="E44" s="970" t="s">
        <v>83</v>
      </c>
      <c r="F44" s="969" t="s">
        <v>26</v>
      </c>
      <c r="G44" s="942">
        <v>2</v>
      </c>
      <c r="H44" s="89" t="s">
        <v>27</v>
      </c>
      <c r="I44" s="8">
        <f>J44+L44</f>
        <v>380.8</v>
      </c>
      <c r="J44" s="9">
        <f>380.8</f>
        <v>380.8</v>
      </c>
      <c r="K44" s="9">
        <v>270.8</v>
      </c>
      <c r="L44" s="13"/>
      <c r="M44" s="16">
        <f>N44+P44</f>
        <v>388.3</v>
      </c>
      <c r="N44" s="17">
        <v>388.3</v>
      </c>
      <c r="O44" s="17">
        <v>270.89999999999998</v>
      </c>
      <c r="P44" s="172"/>
      <c r="Q44" s="683">
        <f t="shared" si="9"/>
        <v>362</v>
      </c>
      <c r="R44" s="682">
        <f>361.5+0.5</f>
        <v>362</v>
      </c>
      <c r="S44" s="682">
        <f>257.4+0.4</f>
        <v>257.79999999999995</v>
      </c>
      <c r="T44" s="512"/>
      <c r="U44" s="69">
        <v>388</v>
      </c>
      <c r="V44" s="69">
        <v>386.6</v>
      </c>
    </row>
    <row r="45" spans="1:25" ht="15" customHeight="1">
      <c r="A45" s="896"/>
      <c r="B45" s="1065"/>
      <c r="C45" s="913"/>
      <c r="D45" s="967"/>
      <c r="E45" s="939"/>
      <c r="F45" s="801"/>
      <c r="G45" s="942"/>
      <c r="H45" s="90" t="s">
        <v>42</v>
      </c>
      <c r="I45" s="22">
        <f>J45+L45</f>
        <v>170</v>
      </c>
      <c r="J45" s="23">
        <v>170</v>
      </c>
      <c r="K45" s="23">
        <v>20</v>
      </c>
      <c r="L45" s="27"/>
      <c r="M45" s="43">
        <f>N45+P45</f>
        <v>230</v>
      </c>
      <c r="N45" s="44">
        <v>230</v>
      </c>
      <c r="O45" s="44">
        <v>20.5</v>
      </c>
      <c r="P45" s="42"/>
      <c r="Q45" s="559">
        <f>R45+T45</f>
        <v>230</v>
      </c>
      <c r="R45" s="459">
        <v>226</v>
      </c>
      <c r="S45" s="707">
        <f>20.5+14</f>
        <v>34.5</v>
      </c>
      <c r="T45" s="460">
        <v>4</v>
      </c>
      <c r="U45" s="237">
        <v>230</v>
      </c>
      <c r="V45" s="237">
        <v>230</v>
      </c>
    </row>
    <row r="46" spans="1:25" ht="15" customHeight="1" thickBot="1">
      <c r="A46" s="1008"/>
      <c r="B46" s="1066"/>
      <c r="C46" s="795"/>
      <c r="D46" s="968"/>
      <c r="E46" s="940"/>
      <c r="F46" s="926"/>
      <c r="G46" s="943"/>
      <c r="H46" s="567" t="s">
        <v>28</v>
      </c>
      <c r="I46" s="475">
        <f>L46+J46</f>
        <v>550.79999999999995</v>
      </c>
      <c r="J46" s="473">
        <f>SUM(J44:J45)</f>
        <v>550.79999999999995</v>
      </c>
      <c r="K46" s="473">
        <f>SUM(K44:K45)</f>
        <v>290.8</v>
      </c>
      <c r="L46" s="539"/>
      <c r="M46" s="475">
        <f>SUM(M44:M45)</f>
        <v>618.29999999999995</v>
      </c>
      <c r="N46" s="473">
        <f>SUM(N44:N45)</f>
        <v>618.29999999999995</v>
      </c>
      <c r="O46" s="473">
        <f>SUM(O44:O45)</f>
        <v>291.39999999999998</v>
      </c>
      <c r="P46" s="549"/>
      <c r="Q46" s="475">
        <f>R46+T46</f>
        <v>592</v>
      </c>
      <c r="R46" s="473">
        <f>SUM(R44:R45)</f>
        <v>588</v>
      </c>
      <c r="S46" s="473">
        <f>SUM(S44:S45)</f>
        <v>292.29999999999995</v>
      </c>
      <c r="T46" s="539">
        <f>SUM(T44:T45)</f>
        <v>4</v>
      </c>
      <c r="U46" s="480">
        <f>SUM(U44:U45)</f>
        <v>618</v>
      </c>
      <c r="V46" s="480">
        <f>SUM(V44:V45)</f>
        <v>616.6</v>
      </c>
      <c r="X46" s="200"/>
      <c r="Y46" s="200"/>
    </row>
    <row r="47" spans="1:25" ht="22.5" customHeight="1">
      <c r="A47" s="742" t="s">
        <v>25</v>
      </c>
      <c r="B47" s="873" t="s">
        <v>29</v>
      </c>
      <c r="C47" s="1068" t="s">
        <v>33</v>
      </c>
      <c r="D47" s="944" t="s">
        <v>110</v>
      </c>
      <c r="E47" s="752"/>
      <c r="F47" s="764" t="s">
        <v>26</v>
      </c>
      <c r="G47" s="644">
        <v>2</v>
      </c>
      <c r="H47" s="175" t="s">
        <v>27</v>
      </c>
      <c r="I47" s="105">
        <f>J47+L47</f>
        <v>72.7</v>
      </c>
      <c r="J47" s="61">
        <f>20+52.7</f>
        <v>72.7</v>
      </c>
      <c r="K47" s="61"/>
      <c r="L47" s="62"/>
      <c r="M47" s="143">
        <f>N47+P47</f>
        <v>84.6</v>
      </c>
      <c r="N47" s="144">
        <f>27+57.6</f>
        <v>84.6</v>
      </c>
      <c r="O47" s="144"/>
      <c r="P47" s="176"/>
      <c r="Q47" s="560">
        <f t="shared" si="9"/>
        <v>65.400000000000006</v>
      </c>
      <c r="R47" s="561">
        <v>65.400000000000006</v>
      </c>
      <c r="S47" s="561"/>
      <c r="T47" s="562"/>
      <c r="U47" s="85">
        <f>25+58</f>
        <v>83</v>
      </c>
      <c r="V47" s="85">
        <f>25+58</f>
        <v>83</v>
      </c>
    </row>
    <row r="48" spans="1:25" ht="20.25" customHeight="1" thickBot="1">
      <c r="A48" s="744"/>
      <c r="B48" s="874"/>
      <c r="C48" s="1069"/>
      <c r="D48" s="945"/>
      <c r="E48" s="754"/>
      <c r="F48" s="614"/>
      <c r="G48" s="645"/>
      <c r="H48" s="484" t="s">
        <v>28</v>
      </c>
      <c r="I48" s="472">
        <f>SUM(I47:I47)</f>
        <v>72.7</v>
      </c>
      <c r="J48" s="473">
        <f>SUM(J47:J47)</f>
        <v>72.7</v>
      </c>
      <c r="K48" s="474"/>
      <c r="L48" s="539"/>
      <c r="M48" s="486">
        <f>SUM(M47:M47)</f>
        <v>84.6</v>
      </c>
      <c r="N48" s="479">
        <f>SUM(N47:N47)</f>
        <v>84.6</v>
      </c>
      <c r="O48" s="478"/>
      <c r="P48" s="485"/>
      <c r="Q48" s="477">
        <f t="shared" si="9"/>
        <v>65.400000000000006</v>
      </c>
      <c r="R48" s="478">
        <f>SUM(R47)</f>
        <v>65.400000000000006</v>
      </c>
      <c r="S48" s="479"/>
      <c r="T48" s="563"/>
      <c r="U48" s="486">
        <f>SUM(U47:U47)</f>
        <v>83</v>
      </c>
      <c r="V48" s="550">
        <f>SUM(V47:V47)</f>
        <v>83</v>
      </c>
    </row>
    <row r="49" spans="1:22" ht="18" customHeight="1">
      <c r="A49" s="1000" t="s">
        <v>25</v>
      </c>
      <c r="B49" s="873" t="s">
        <v>29</v>
      </c>
      <c r="C49" s="794" t="s">
        <v>34</v>
      </c>
      <c r="D49" s="964" t="s">
        <v>95</v>
      </c>
      <c r="E49" s="958"/>
      <c r="F49" s="925" t="s">
        <v>26</v>
      </c>
      <c r="G49" s="987">
        <v>2</v>
      </c>
      <c r="H49" s="35" t="s">
        <v>30</v>
      </c>
      <c r="I49" s="79">
        <f>J49+L49</f>
        <v>197.1</v>
      </c>
      <c r="J49" s="39">
        <f>78+119.1</f>
        <v>197.1</v>
      </c>
      <c r="K49" s="71"/>
      <c r="L49" s="53"/>
      <c r="M49" s="36">
        <f>N49+P49</f>
        <v>186.6</v>
      </c>
      <c r="N49" s="37">
        <v>186.6</v>
      </c>
      <c r="O49" s="44"/>
      <c r="P49" s="37"/>
      <c r="Q49" s="708">
        <f>R49+T49</f>
        <v>129.6</v>
      </c>
      <c r="R49" s="693">
        <f>149.7-20.1</f>
        <v>129.6</v>
      </c>
      <c r="S49" s="565"/>
      <c r="T49" s="457"/>
      <c r="U49" s="41">
        <v>190</v>
      </c>
      <c r="V49" s="85">
        <v>190</v>
      </c>
    </row>
    <row r="50" spans="1:22" ht="16.5" customHeight="1" thickBot="1">
      <c r="A50" s="1010"/>
      <c r="B50" s="874"/>
      <c r="C50" s="795"/>
      <c r="D50" s="965"/>
      <c r="E50" s="959"/>
      <c r="F50" s="926"/>
      <c r="G50" s="988"/>
      <c r="H50" s="471" t="s">
        <v>28</v>
      </c>
      <c r="I50" s="549">
        <f>SUM(I49:I49)</f>
        <v>197.1</v>
      </c>
      <c r="J50" s="473">
        <f>SUM(J49:J49)</f>
        <v>197.1</v>
      </c>
      <c r="K50" s="474"/>
      <c r="L50" s="539"/>
      <c r="M50" s="473">
        <f>SUM(M49:M49)</f>
        <v>186.6</v>
      </c>
      <c r="N50" s="474">
        <f>SUM(N49:N49)</f>
        <v>186.6</v>
      </c>
      <c r="O50" s="473"/>
      <c r="P50" s="493"/>
      <c r="Q50" s="549">
        <f>SUM(R50+T50)</f>
        <v>129.6</v>
      </c>
      <c r="R50" s="473">
        <f>SUM(R49)</f>
        <v>129.6</v>
      </c>
      <c r="S50" s="474"/>
      <c r="T50" s="539"/>
      <c r="U50" s="480">
        <f>SUM(U49:U49)</f>
        <v>190</v>
      </c>
      <c r="V50" s="480">
        <f>SUM(V49:V49)</f>
        <v>190</v>
      </c>
    </row>
    <row r="51" spans="1:22" ht="30" customHeight="1">
      <c r="A51" s="911" t="s">
        <v>25</v>
      </c>
      <c r="B51" s="730" t="s">
        <v>29</v>
      </c>
      <c r="C51" s="197" t="s">
        <v>35</v>
      </c>
      <c r="D51" s="962" t="s">
        <v>107</v>
      </c>
      <c r="E51" s="900" t="s">
        <v>0</v>
      </c>
      <c r="F51" s="830" t="s">
        <v>26</v>
      </c>
      <c r="G51" s="875">
        <v>2</v>
      </c>
      <c r="H51" s="46" t="s">
        <v>27</v>
      </c>
      <c r="I51" s="8">
        <f>J51+L51</f>
        <v>151.9</v>
      </c>
      <c r="J51" s="9">
        <v>151.9</v>
      </c>
      <c r="K51" s="9"/>
      <c r="L51" s="13"/>
      <c r="M51" s="11">
        <f>N51+P51</f>
        <v>330</v>
      </c>
      <c r="N51" s="12">
        <f>97+133+100</f>
        <v>330</v>
      </c>
      <c r="O51" s="12"/>
      <c r="P51" s="10"/>
      <c r="Q51" s="511">
        <f>R51+T51</f>
        <v>136.69999999999999</v>
      </c>
      <c r="R51" s="453">
        <v>136.69999999999999</v>
      </c>
      <c r="S51" s="453"/>
      <c r="T51" s="551"/>
      <c r="U51" s="14">
        <f>90+70+100</f>
        <v>260</v>
      </c>
      <c r="V51" s="14">
        <f>90+70+100</f>
        <v>260</v>
      </c>
    </row>
    <row r="52" spans="1:22" ht="14.25" customHeight="1" thickBot="1">
      <c r="A52" s="912"/>
      <c r="B52" s="731"/>
      <c r="C52" s="198"/>
      <c r="D52" s="963"/>
      <c r="E52" s="902"/>
      <c r="F52" s="802"/>
      <c r="G52" s="876"/>
      <c r="H52" s="494" t="s">
        <v>28</v>
      </c>
      <c r="I52" s="472">
        <f>SUM(I51:I51)</f>
        <v>151.9</v>
      </c>
      <c r="J52" s="473">
        <f>SUM(J51:J51)</f>
        <v>151.9</v>
      </c>
      <c r="K52" s="474"/>
      <c r="L52" s="539"/>
      <c r="M52" s="475">
        <f>SUM(M51:M51)</f>
        <v>330</v>
      </c>
      <c r="N52" s="473">
        <f>SUM(N51:N51)</f>
        <v>330</v>
      </c>
      <c r="O52" s="473"/>
      <c r="P52" s="539"/>
      <c r="Q52" s="474">
        <f>R52+T52</f>
        <v>136.69999999999999</v>
      </c>
      <c r="R52" s="473">
        <f>SUM(R51)</f>
        <v>136.69999999999999</v>
      </c>
      <c r="S52" s="474"/>
      <c r="T52" s="549"/>
      <c r="U52" s="480">
        <f>SUM(U51:U51)</f>
        <v>260</v>
      </c>
      <c r="V52" s="480">
        <f>SUM(V51:V51)</f>
        <v>260</v>
      </c>
    </row>
    <row r="53" spans="1:22" ht="15" customHeight="1" thickBot="1">
      <c r="A53" s="192" t="s">
        <v>25</v>
      </c>
      <c r="B53" s="181" t="s">
        <v>29</v>
      </c>
      <c r="C53" s="829" t="s">
        <v>32</v>
      </c>
      <c r="D53" s="829"/>
      <c r="E53" s="829"/>
      <c r="F53" s="829"/>
      <c r="G53" s="829"/>
      <c r="H53" s="829"/>
      <c r="I53" s="29">
        <f t="shared" ref="I53:O53" si="10">I52+I50+I48+I46+I43+I39</f>
        <v>3625.7</v>
      </c>
      <c r="J53" s="84">
        <f t="shared" si="10"/>
        <v>3625.7</v>
      </c>
      <c r="K53" s="84">
        <f t="shared" si="10"/>
        <v>2163.3000000000002</v>
      </c>
      <c r="L53" s="80"/>
      <c r="M53" s="29">
        <f t="shared" si="10"/>
        <v>3864.1000000000004</v>
      </c>
      <c r="N53" s="84">
        <f t="shared" si="10"/>
        <v>3864.1000000000004</v>
      </c>
      <c r="O53" s="84">
        <f t="shared" si="10"/>
        <v>2149.8000000000002</v>
      </c>
      <c r="P53" s="80"/>
      <c r="Q53" s="29">
        <f>R53+T53</f>
        <v>3486.2</v>
      </c>
      <c r="R53" s="84">
        <f>R52+R50+R48+R46+R43+R39</f>
        <v>3482.2</v>
      </c>
      <c r="S53" s="84">
        <f>S52+S50+S48+S46+S43+S39</f>
        <v>2098.3999999999996</v>
      </c>
      <c r="T53" s="80">
        <f>T52+T50+T48+T46+T43+T39</f>
        <v>4</v>
      </c>
      <c r="U53" s="60">
        <f>U52+U50+U48+U46+U43+U39</f>
        <v>3820</v>
      </c>
      <c r="V53" s="67">
        <f>V52+V50+V48+V46+V43+V39</f>
        <v>3818.6</v>
      </c>
    </row>
    <row r="54" spans="1:22" ht="14.25" customHeight="1" thickBot="1">
      <c r="A54" s="741" t="s">
        <v>25</v>
      </c>
      <c r="B54" s="960" t="s">
        <v>14</v>
      </c>
      <c r="C54" s="961"/>
      <c r="D54" s="961"/>
      <c r="E54" s="961"/>
      <c r="F54" s="961"/>
      <c r="G54" s="961"/>
      <c r="H54" s="961"/>
      <c r="I54" s="205">
        <f t="shared" ref="I54:P54" si="11">I53+I34</f>
        <v>195531.2</v>
      </c>
      <c r="J54" s="451">
        <f t="shared" si="11"/>
        <v>195328.30000000002</v>
      </c>
      <c r="K54" s="451">
        <f t="shared" si="11"/>
        <v>129940.89999999998</v>
      </c>
      <c r="L54" s="450">
        <f t="shared" si="11"/>
        <v>202.89999999999998</v>
      </c>
      <c r="M54" s="205">
        <f t="shared" si="11"/>
        <v>192781.90000000002</v>
      </c>
      <c r="N54" s="451">
        <f t="shared" si="11"/>
        <v>192543.9</v>
      </c>
      <c r="O54" s="451">
        <f t="shared" si="11"/>
        <v>127800.9</v>
      </c>
      <c r="P54" s="450">
        <f t="shared" si="11"/>
        <v>238</v>
      </c>
      <c r="Q54" s="205">
        <f>R54+T54</f>
        <v>186567.3</v>
      </c>
      <c r="R54" s="451">
        <f>R53+R34</f>
        <v>186203.9</v>
      </c>
      <c r="S54" s="451">
        <f>S53+S34</f>
        <v>124112</v>
      </c>
      <c r="T54" s="450">
        <f>T53+T34</f>
        <v>363.40000000000003</v>
      </c>
      <c r="U54" s="205">
        <f>U53+U34</f>
        <v>192765</v>
      </c>
      <c r="V54" s="256">
        <f>V53+V34</f>
        <v>192763.6</v>
      </c>
    </row>
    <row r="55" spans="1:22" ht="15.75" customHeight="1" thickBot="1">
      <c r="A55" s="740" t="s">
        <v>29</v>
      </c>
      <c r="B55" s="953" t="s">
        <v>171</v>
      </c>
      <c r="C55" s="954"/>
      <c r="D55" s="954"/>
      <c r="E55" s="954"/>
      <c r="F55" s="954"/>
      <c r="G55" s="954"/>
      <c r="H55" s="954"/>
      <c r="I55" s="954"/>
      <c r="J55" s="954"/>
      <c r="K55" s="954"/>
      <c r="L55" s="954"/>
      <c r="M55" s="954"/>
      <c r="N55" s="954"/>
      <c r="O55" s="954"/>
      <c r="P55" s="954"/>
      <c r="Q55" s="954"/>
      <c r="R55" s="954"/>
      <c r="S55" s="954"/>
      <c r="T55" s="954"/>
      <c r="U55" s="954"/>
      <c r="V55" s="955"/>
    </row>
    <row r="56" spans="1:22" ht="17.25" customHeight="1" thickBot="1">
      <c r="A56" s="245" t="s">
        <v>29</v>
      </c>
      <c r="B56" s="181" t="s">
        <v>25</v>
      </c>
      <c r="C56" s="916" t="s">
        <v>125</v>
      </c>
      <c r="D56" s="917"/>
      <c r="E56" s="916"/>
      <c r="F56" s="916"/>
      <c r="G56" s="916"/>
      <c r="H56" s="917"/>
      <c r="I56" s="917"/>
      <c r="J56" s="917"/>
      <c r="K56" s="917"/>
      <c r="L56" s="917"/>
      <c r="M56" s="917"/>
      <c r="N56" s="917"/>
      <c r="O56" s="917"/>
      <c r="P56" s="917"/>
      <c r="Q56" s="917"/>
      <c r="R56" s="917"/>
      <c r="S56" s="917"/>
      <c r="T56" s="917"/>
      <c r="U56" s="917"/>
      <c r="V56" s="918"/>
    </row>
    <row r="57" spans="1:22" ht="26.25" customHeight="1">
      <c r="A57" s="722" t="s">
        <v>29</v>
      </c>
      <c r="B57" s="730" t="s">
        <v>25</v>
      </c>
      <c r="C57" s="757" t="s">
        <v>25</v>
      </c>
      <c r="D57" s="734" t="s">
        <v>173</v>
      </c>
      <c r="E57" s="762"/>
      <c r="F57" s="759" t="s">
        <v>26</v>
      </c>
      <c r="G57" s="646">
        <v>5</v>
      </c>
      <c r="H57" s="170" t="s">
        <v>27</v>
      </c>
      <c r="I57" s="120">
        <v>35</v>
      </c>
      <c r="J57" s="3">
        <v>35</v>
      </c>
      <c r="K57" s="3"/>
      <c r="L57" s="72"/>
      <c r="M57" s="230"/>
      <c r="N57" s="231"/>
      <c r="O57" s="231"/>
      <c r="P57" s="269"/>
      <c r="Q57" s="667">
        <f>R57+T57</f>
        <v>1361.4</v>
      </c>
      <c r="R57" s="665">
        <v>14.5</v>
      </c>
      <c r="S57" s="665"/>
      <c r="T57" s="668">
        <v>1346.9</v>
      </c>
      <c r="U57" s="282">
        <v>576.79999999999995</v>
      </c>
      <c r="V57" s="169"/>
    </row>
    <row r="58" spans="1:22" ht="28.5" customHeight="1">
      <c r="A58" s="735"/>
      <c r="B58" s="739"/>
      <c r="C58" s="758"/>
      <c r="D58" s="737" t="s">
        <v>204</v>
      </c>
      <c r="E58" s="763"/>
      <c r="F58" s="760"/>
      <c r="G58" s="749"/>
      <c r="H58" s="142" t="s">
        <v>154</v>
      </c>
      <c r="I58" s="5">
        <f>J58+L58</f>
        <v>1882.3</v>
      </c>
      <c r="J58" s="4"/>
      <c r="K58" s="4"/>
      <c r="L58" s="50">
        <v>1882.3</v>
      </c>
      <c r="M58" s="341">
        <f>N58+P58</f>
        <v>2067.1999999999998</v>
      </c>
      <c r="N58" s="149"/>
      <c r="O58" s="149"/>
      <c r="P58" s="273">
        <v>2067.1999999999998</v>
      </c>
      <c r="Q58" s="670">
        <f>R58+T58</f>
        <v>1547.9</v>
      </c>
      <c r="R58" s="678"/>
      <c r="S58" s="678"/>
      <c r="T58" s="679">
        <f>1720.2-172.3</f>
        <v>1547.9</v>
      </c>
      <c r="U58" s="283">
        <v>25</v>
      </c>
      <c r="V58" s="270"/>
    </row>
    <row r="59" spans="1:22" ht="55.5" customHeight="1">
      <c r="A59" s="735"/>
      <c r="B59" s="739"/>
      <c r="C59" s="758"/>
      <c r="D59" s="677" t="s">
        <v>207</v>
      </c>
      <c r="E59" s="753" t="s">
        <v>179</v>
      </c>
      <c r="F59" s="760"/>
      <c r="G59" s="749"/>
      <c r="H59" s="142" t="s">
        <v>8</v>
      </c>
      <c r="I59" s="5">
        <f>J59+L59</f>
        <v>11833.5</v>
      </c>
      <c r="J59" s="4"/>
      <c r="K59" s="4"/>
      <c r="L59" s="50">
        <f>1651.3+1431.2+3100+3000+1394.2+1256.8</f>
        <v>11833.5</v>
      </c>
      <c r="M59" s="342">
        <f>N59+P59</f>
        <v>9889.7000000000007</v>
      </c>
      <c r="N59" s="343"/>
      <c r="O59" s="343"/>
      <c r="P59" s="344">
        <v>9889.7000000000007</v>
      </c>
      <c r="Q59" s="670">
        <f>R59+T59</f>
        <v>9897.6</v>
      </c>
      <c r="R59" s="678"/>
      <c r="S59" s="678"/>
      <c r="T59" s="679">
        <f>9889.7+7.9</f>
        <v>9897.6</v>
      </c>
      <c r="U59" s="283">
        <f>24.5+414</f>
        <v>438.5</v>
      </c>
      <c r="V59" s="270"/>
    </row>
    <row r="60" spans="1:22" ht="42" customHeight="1">
      <c r="A60" s="735"/>
      <c r="B60" s="739"/>
      <c r="C60" s="726"/>
      <c r="D60" s="303" t="s">
        <v>230</v>
      </c>
      <c r="E60" s="622"/>
      <c r="F60" s="720"/>
      <c r="G60" s="647"/>
      <c r="H60" s="82" t="s">
        <v>7</v>
      </c>
      <c r="I60" s="55">
        <f>L60+J60</f>
        <v>544</v>
      </c>
      <c r="J60" s="56"/>
      <c r="K60" s="56"/>
      <c r="L60" s="57">
        <f>291.4+252.6</f>
        <v>544</v>
      </c>
      <c r="M60" s="341">
        <f>N60+P60</f>
        <v>727.9</v>
      </c>
      <c r="N60" s="149"/>
      <c r="O60" s="149"/>
      <c r="P60" s="273">
        <v>727.9</v>
      </c>
      <c r="Q60" s="490">
        <f>R60+T60</f>
        <v>727.9</v>
      </c>
      <c r="R60" s="491"/>
      <c r="S60" s="491"/>
      <c r="T60" s="568">
        <v>727.9</v>
      </c>
      <c r="U60" s="179">
        <f>1500+6000</f>
        <v>7500</v>
      </c>
      <c r="V60" s="308">
        <v>1618</v>
      </c>
    </row>
    <row r="61" spans="1:22" s="70" customFormat="1" ht="27" customHeight="1">
      <c r="A61" s="735"/>
      <c r="B61" s="739"/>
      <c r="C61" s="267"/>
      <c r="D61" s="303" t="s">
        <v>208</v>
      </c>
      <c r="E61" s="763"/>
      <c r="F61" s="624"/>
      <c r="G61" s="749"/>
      <c r="H61" s="161"/>
      <c r="I61" s="129"/>
      <c r="J61" s="137"/>
      <c r="K61" s="137"/>
      <c r="L61" s="136"/>
      <c r="M61" s="129"/>
      <c r="N61" s="137"/>
      <c r="O61" s="137"/>
      <c r="P61" s="40"/>
      <c r="Q61" s="518"/>
      <c r="R61" s="540"/>
      <c r="S61" s="540"/>
      <c r="T61" s="569"/>
      <c r="U61" s="284"/>
      <c r="V61" s="66"/>
    </row>
    <row r="62" spans="1:22" s="70" customFormat="1" ht="30" customHeight="1" thickBot="1">
      <c r="A62" s="723"/>
      <c r="B62" s="731"/>
      <c r="C62" s="765"/>
      <c r="D62" s="766" t="s">
        <v>205</v>
      </c>
      <c r="E62" s="611"/>
      <c r="F62" s="767"/>
      <c r="G62" s="750"/>
      <c r="H62" s="768"/>
      <c r="I62" s="769"/>
      <c r="J62" s="770"/>
      <c r="K62" s="770"/>
      <c r="L62" s="771"/>
      <c r="M62" s="769"/>
      <c r="N62" s="770"/>
      <c r="O62" s="770"/>
      <c r="P62" s="772"/>
      <c r="Q62" s="773"/>
      <c r="R62" s="774"/>
      <c r="S62" s="774"/>
      <c r="T62" s="775"/>
      <c r="U62" s="776"/>
      <c r="V62" s="777"/>
    </row>
    <row r="63" spans="1:22" s="70" customFormat="1" ht="52.5" customHeight="1">
      <c r="A63" s="722"/>
      <c r="B63" s="730"/>
      <c r="C63" s="778"/>
      <c r="D63" s="728" t="s">
        <v>231</v>
      </c>
      <c r="E63" s="762"/>
      <c r="F63" s="779"/>
      <c r="G63" s="646"/>
      <c r="H63" s="780"/>
      <c r="I63" s="204"/>
      <c r="J63" s="781"/>
      <c r="K63" s="781"/>
      <c r="L63" s="145"/>
      <c r="M63" s="204"/>
      <c r="N63" s="781"/>
      <c r="O63" s="781"/>
      <c r="P63" s="782"/>
      <c r="Q63" s="560"/>
      <c r="R63" s="719"/>
      <c r="S63" s="719"/>
      <c r="T63" s="562"/>
      <c r="U63" s="783"/>
      <c r="V63" s="784"/>
    </row>
    <row r="64" spans="1:22" s="70" customFormat="1" ht="30" customHeight="1">
      <c r="A64" s="735"/>
      <c r="B64" s="739"/>
      <c r="C64" s="267"/>
      <c r="D64" s="303" t="s">
        <v>229</v>
      </c>
      <c r="E64" s="763"/>
      <c r="F64" s="624"/>
      <c r="G64" s="749"/>
      <c r="H64" s="161"/>
      <c r="I64" s="129"/>
      <c r="J64" s="137"/>
      <c r="K64" s="137"/>
      <c r="L64" s="136"/>
      <c r="M64" s="129"/>
      <c r="N64" s="137"/>
      <c r="O64" s="137"/>
      <c r="P64" s="40"/>
      <c r="Q64" s="518"/>
      <c r="R64" s="540"/>
      <c r="S64" s="540"/>
      <c r="T64" s="569"/>
      <c r="U64" s="284"/>
      <c r="V64" s="66"/>
    </row>
    <row r="65" spans="1:22" s="70" customFormat="1" ht="27" customHeight="1">
      <c r="A65" s="735"/>
      <c r="B65" s="739"/>
      <c r="C65" s="267"/>
      <c r="D65" s="671" t="s">
        <v>206</v>
      </c>
      <c r="E65" s="623"/>
      <c r="F65" s="625"/>
      <c r="G65" s="647"/>
      <c r="H65" s="92"/>
      <c r="I65" s="129"/>
      <c r="J65" s="137"/>
      <c r="K65" s="137"/>
      <c r="L65" s="136"/>
      <c r="M65" s="129"/>
      <c r="N65" s="137"/>
      <c r="O65" s="137"/>
      <c r="P65" s="40"/>
      <c r="Q65" s="518"/>
      <c r="R65" s="694"/>
      <c r="S65" s="694"/>
      <c r="T65" s="695"/>
      <c r="U65" s="284"/>
      <c r="V65" s="66"/>
    </row>
    <row r="66" spans="1:22" ht="29.25" customHeight="1" thickBot="1">
      <c r="A66" s="723"/>
      <c r="B66" s="731"/>
      <c r="C66" s="727"/>
      <c r="D66" s="738" t="s">
        <v>209</v>
      </c>
      <c r="E66" s="736"/>
      <c r="F66" s="761"/>
      <c r="G66" s="645"/>
      <c r="H66" s="484" t="s">
        <v>28</v>
      </c>
      <c r="I66" s="479">
        <f t="shared" ref="I66:I72" si="12">J66+L66</f>
        <v>14294.8</v>
      </c>
      <c r="J66" s="478">
        <f>SUM(J57:J65)</f>
        <v>35</v>
      </c>
      <c r="K66" s="485"/>
      <c r="L66" s="563">
        <f>SUM(L57:L65)</f>
        <v>14259.8</v>
      </c>
      <c r="M66" s="485">
        <f t="shared" ref="M66:M71" si="13">N66+P66</f>
        <v>12684.800000000001</v>
      </c>
      <c r="N66" s="478"/>
      <c r="O66" s="478"/>
      <c r="P66" s="549">
        <f>SUM(P57:P65)</f>
        <v>12684.800000000001</v>
      </c>
      <c r="Q66" s="475">
        <f t="shared" ref="Q66:Q71" si="14">R66+T66</f>
        <v>13534.800000000001</v>
      </c>
      <c r="R66" s="473">
        <f>SUM(R57:R65)</f>
        <v>14.5</v>
      </c>
      <c r="S66" s="473"/>
      <c r="T66" s="539">
        <f>SUM(T57:T65)</f>
        <v>13520.300000000001</v>
      </c>
      <c r="U66" s="472">
        <f>SUM(U57:U65)</f>
        <v>8540.2999999999993</v>
      </c>
      <c r="V66" s="480">
        <f>SUM(V57:V65)</f>
        <v>1618</v>
      </c>
    </row>
    <row r="67" spans="1:22" ht="27.75" customHeight="1">
      <c r="A67" s="722" t="s">
        <v>29</v>
      </c>
      <c r="B67" s="730" t="s">
        <v>25</v>
      </c>
      <c r="C67" s="757" t="s">
        <v>29</v>
      </c>
      <c r="D67" s="304" t="s">
        <v>156</v>
      </c>
      <c r="E67" s="950" t="s">
        <v>179</v>
      </c>
      <c r="F67" s="759" t="s">
        <v>26</v>
      </c>
      <c r="G67" s="646">
        <v>5</v>
      </c>
      <c r="H67" s="142" t="s">
        <v>154</v>
      </c>
      <c r="I67" s="49">
        <f t="shared" si="12"/>
        <v>27</v>
      </c>
      <c r="J67" s="4"/>
      <c r="K67" s="4"/>
      <c r="L67" s="6">
        <v>27</v>
      </c>
      <c r="M67" s="345">
        <f t="shared" si="13"/>
        <v>232.1</v>
      </c>
      <c r="N67" s="343"/>
      <c r="O67" s="343"/>
      <c r="P67" s="344">
        <v>232.1</v>
      </c>
      <c r="Q67" s="481">
        <f t="shared" si="14"/>
        <v>248.9</v>
      </c>
      <c r="R67" s="466"/>
      <c r="S67" s="466"/>
      <c r="T67" s="599">
        <f>232.1+16.8</f>
        <v>248.9</v>
      </c>
      <c r="U67" s="274"/>
      <c r="V67" s="274"/>
    </row>
    <row r="68" spans="1:22" ht="17.25" customHeight="1">
      <c r="A68" s="735"/>
      <c r="B68" s="739"/>
      <c r="C68" s="758"/>
      <c r="D68" s="908" t="s">
        <v>203</v>
      </c>
      <c r="E68" s="951"/>
      <c r="F68" s="760"/>
      <c r="G68" s="749"/>
      <c r="H68" s="115" t="s">
        <v>8</v>
      </c>
      <c r="I68" s="73">
        <f t="shared" si="12"/>
        <v>559</v>
      </c>
      <c r="J68" s="56"/>
      <c r="K68" s="56"/>
      <c r="L68" s="51">
        <v>559</v>
      </c>
      <c r="M68" s="94">
        <f t="shared" si="13"/>
        <v>1418.7</v>
      </c>
      <c r="N68" s="149"/>
      <c r="O68" s="149"/>
      <c r="P68" s="273">
        <v>1418.7</v>
      </c>
      <c r="Q68" s="483">
        <f t="shared" si="14"/>
        <v>1418.7</v>
      </c>
      <c r="R68" s="469"/>
      <c r="S68" s="469"/>
      <c r="T68" s="545">
        <v>1418.7</v>
      </c>
      <c r="U68" s="270"/>
      <c r="V68" s="270"/>
    </row>
    <row r="69" spans="1:22" ht="13.5" customHeight="1" thickBot="1">
      <c r="A69" s="723"/>
      <c r="B69" s="731"/>
      <c r="C69" s="727"/>
      <c r="D69" s="909"/>
      <c r="E69" s="952"/>
      <c r="F69" s="761"/>
      <c r="G69" s="733"/>
      <c r="H69" s="484" t="s">
        <v>28</v>
      </c>
      <c r="I69" s="479">
        <f t="shared" si="12"/>
        <v>586</v>
      </c>
      <c r="J69" s="478"/>
      <c r="K69" s="485"/>
      <c r="L69" s="546">
        <f>SUM(L67:L68)</f>
        <v>586</v>
      </c>
      <c r="M69" s="486">
        <f t="shared" si="13"/>
        <v>1650.8</v>
      </c>
      <c r="N69" s="478"/>
      <c r="O69" s="478"/>
      <c r="P69" s="549">
        <f>SUM(P67:P68)</f>
        <v>1650.8</v>
      </c>
      <c r="Q69" s="472">
        <f t="shared" si="14"/>
        <v>1667.6000000000001</v>
      </c>
      <c r="R69" s="473"/>
      <c r="S69" s="473"/>
      <c r="T69" s="539">
        <f>SUM(T67:T68)</f>
        <v>1667.6000000000001</v>
      </c>
      <c r="U69" s="480"/>
      <c r="V69" s="480"/>
    </row>
    <row r="70" spans="1:22" ht="27.75" customHeight="1">
      <c r="A70" s="722" t="s">
        <v>29</v>
      </c>
      <c r="B70" s="730" t="s">
        <v>25</v>
      </c>
      <c r="C70" s="757" t="s">
        <v>31</v>
      </c>
      <c r="D70" s="734" t="s">
        <v>119</v>
      </c>
      <c r="E70" s="788" t="s">
        <v>179</v>
      </c>
      <c r="F70" s="759" t="s">
        <v>26</v>
      </c>
      <c r="G70" s="646">
        <v>5</v>
      </c>
      <c r="H70" s="170" t="s">
        <v>154</v>
      </c>
      <c r="I70" s="5">
        <f t="shared" si="12"/>
        <v>776</v>
      </c>
      <c r="J70" s="4"/>
      <c r="K70" s="4"/>
      <c r="L70" s="6">
        <v>776</v>
      </c>
      <c r="M70" s="229">
        <f t="shared" si="13"/>
        <v>282</v>
      </c>
      <c r="N70" s="231"/>
      <c r="O70" s="231"/>
      <c r="P70" s="232">
        <v>282</v>
      </c>
      <c r="Q70" s="541">
        <f t="shared" si="14"/>
        <v>265.2</v>
      </c>
      <c r="R70" s="469"/>
      <c r="S70" s="469"/>
      <c r="T70" s="542">
        <f>282-16.8</f>
        <v>265.2</v>
      </c>
      <c r="U70" s="169">
        <v>1588.5</v>
      </c>
      <c r="V70" s="169">
        <v>2245.1999999999998</v>
      </c>
    </row>
    <row r="71" spans="1:22" ht="27" customHeight="1">
      <c r="A71" s="735"/>
      <c r="B71" s="739"/>
      <c r="C71" s="758"/>
      <c r="D71" s="737" t="s">
        <v>210</v>
      </c>
      <c r="E71" s="789"/>
      <c r="F71" s="760"/>
      <c r="G71" s="749"/>
      <c r="H71" s="142" t="s">
        <v>8</v>
      </c>
      <c r="I71" s="5">
        <f t="shared" si="12"/>
        <v>522.29999999999995</v>
      </c>
      <c r="J71" s="4"/>
      <c r="K71" s="4"/>
      <c r="L71" s="6">
        <v>522.29999999999995</v>
      </c>
      <c r="M71" s="345">
        <f t="shared" si="13"/>
        <v>1053</v>
      </c>
      <c r="N71" s="343"/>
      <c r="O71" s="343"/>
      <c r="P71" s="346">
        <v>1053</v>
      </c>
      <c r="Q71" s="541">
        <f t="shared" si="14"/>
        <v>1053</v>
      </c>
      <c r="R71" s="469"/>
      <c r="S71" s="469"/>
      <c r="T71" s="542">
        <v>1053</v>
      </c>
      <c r="U71" s="270">
        <v>1117.5999999999999</v>
      </c>
      <c r="V71" s="270">
        <v>2270.6</v>
      </c>
    </row>
    <row r="72" spans="1:22" ht="28.5" customHeight="1">
      <c r="A72" s="735"/>
      <c r="B72" s="739"/>
      <c r="C72" s="758"/>
      <c r="D72" s="737" t="s">
        <v>211</v>
      </c>
      <c r="E72" s="789"/>
      <c r="F72" s="760"/>
      <c r="G72" s="749"/>
      <c r="H72" s="115" t="s">
        <v>7</v>
      </c>
      <c r="I72" s="55">
        <f t="shared" si="12"/>
        <v>92.2</v>
      </c>
      <c r="J72" s="56"/>
      <c r="K72" s="56"/>
      <c r="L72" s="51">
        <v>92.2</v>
      </c>
      <c r="M72" s="94"/>
      <c r="N72" s="149"/>
      <c r="O72" s="149"/>
      <c r="P72" s="234"/>
      <c r="Q72" s="543"/>
      <c r="R72" s="491"/>
      <c r="S72" s="491"/>
      <c r="T72" s="544"/>
      <c r="U72" s="275"/>
      <c r="V72" s="275">
        <v>379.1</v>
      </c>
    </row>
    <row r="73" spans="1:22" ht="15" customHeight="1">
      <c r="A73" s="735"/>
      <c r="B73" s="739"/>
      <c r="C73" s="758"/>
      <c r="D73" s="737"/>
      <c r="E73" s="789"/>
      <c r="F73" s="760"/>
      <c r="G73" s="749"/>
      <c r="H73" s="18" t="s">
        <v>85</v>
      </c>
      <c r="I73" s="300"/>
      <c r="J73" s="298"/>
      <c r="K73" s="298"/>
      <c r="L73" s="301"/>
      <c r="M73" s="347"/>
      <c r="N73" s="348"/>
      <c r="O73" s="348"/>
      <c r="P73" s="349"/>
      <c r="Q73" s="572"/>
      <c r="R73" s="573"/>
      <c r="S73" s="573"/>
      <c r="T73" s="574"/>
      <c r="U73" s="108">
        <v>100</v>
      </c>
      <c r="V73" s="435"/>
    </row>
    <row r="74" spans="1:22" ht="14.25" customHeight="1" thickBot="1">
      <c r="A74" s="723"/>
      <c r="B74" s="731"/>
      <c r="C74" s="727"/>
      <c r="D74" s="729"/>
      <c r="E74" s="790"/>
      <c r="F74" s="761"/>
      <c r="G74" s="645"/>
      <c r="H74" s="484" t="s">
        <v>28</v>
      </c>
      <c r="I74" s="479">
        <f>J74+L74</f>
        <v>1390.5</v>
      </c>
      <c r="J74" s="478"/>
      <c r="K74" s="485"/>
      <c r="L74" s="546">
        <f>SUM(L70:L73)</f>
        <v>1390.5</v>
      </c>
      <c r="M74" s="486">
        <f>SUM(M70:M72)</f>
        <v>1335</v>
      </c>
      <c r="N74" s="478"/>
      <c r="O74" s="478"/>
      <c r="P74" s="539">
        <f>SUM(P70:P73)</f>
        <v>1335</v>
      </c>
      <c r="Q74" s="474">
        <f t="shared" ref="Q74:Q79" si="15">R74+T74</f>
        <v>1318.2</v>
      </c>
      <c r="R74" s="473"/>
      <c r="S74" s="473"/>
      <c r="T74" s="549">
        <f>SUM(T70:T73)</f>
        <v>1318.2</v>
      </c>
      <c r="U74" s="480">
        <f>SUM(U70:U73)</f>
        <v>2806.1</v>
      </c>
      <c r="V74" s="480">
        <f>SUM(V70:V73)</f>
        <v>4894.8999999999996</v>
      </c>
    </row>
    <row r="75" spans="1:22" ht="15" customHeight="1">
      <c r="A75" s="919" t="s">
        <v>29</v>
      </c>
      <c r="B75" s="927" t="s">
        <v>25</v>
      </c>
      <c r="C75" s="904" t="s">
        <v>33</v>
      </c>
      <c r="D75" s="922" t="s">
        <v>248</v>
      </c>
      <c r="E75" s="626" t="s">
        <v>6</v>
      </c>
      <c r="F75" s="630" t="s">
        <v>26</v>
      </c>
      <c r="G75" s="649">
        <v>5</v>
      </c>
      <c r="H75" s="238" t="s">
        <v>9</v>
      </c>
      <c r="I75" s="139">
        <f>J75+L75</f>
        <v>154</v>
      </c>
      <c r="J75" s="133"/>
      <c r="K75" s="122"/>
      <c r="L75" s="207">
        <v>154</v>
      </c>
      <c r="M75" s="139">
        <f>N75+P75</f>
        <v>164</v>
      </c>
      <c r="N75" s="133"/>
      <c r="O75" s="122"/>
      <c r="P75" s="207">
        <v>164</v>
      </c>
      <c r="Q75" s="481">
        <f t="shared" si="15"/>
        <v>164</v>
      </c>
      <c r="R75" s="467"/>
      <c r="S75" s="466"/>
      <c r="T75" s="482">
        <v>164</v>
      </c>
      <c r="U75" s="116"/>
      <c r="V75" s="69"/>
    </row>
    <row r="76" spans="1:22" ht="15" customHeight="1">
      <c r="A76" s="920"/>
      <c r="B76" s="928"/>
      <c r="C76" s="904"/>
      <c r="D76" s="922"/>
      <c r="E76" s="628"/>
      <c r="F76" s="632"/>
      <c r="G76" s="649"/>
      <c r="H76" s="673" t="s">
        <v>27</v>
      </c>
      <c r="I76" s="141"/>
      <c r="J76" s="129"/>
      <c r="K76" s="135"/>
      <c r="L76" s="129"/>
      <c r="M76" s="141"/>
      <c r="N76" s="129"/>
      <c r="O76" s="135"/>
      <c r="P76" s="129"/>
      <c r="Q76" s="674">
        <f>R76+T76</f>
        <v>8.9</v>
      </c>
      <c r="R76" s="675"/>
      <c r="S76" s="676"/>
      <c r="T76" s="675">
        <v>8.9</v>
      </c>
      <c r="U76" s="212"/>
      <c r="V76" s="672"/>
    </row>
    <row r="77" spans="1:22" ht="15" customHeight="1" thickBot="1">
      <c r="A77" s="921"/>
      <c r="B77" s="929"/>
      <c r="C77" s="895"/>
      <c r="D77" s="923"/>
      <c r="E77" s="627"/>
      <c r="F77" s="631"/>
      <c r="G77" s="650"/>
      <c r="H77" s="484" t="s">
        <v>28</v>
      </c>
      <c r="I77" s="486">
        <f>SUM(I75:I75)</f>
        <v>154</v>
      </c>
      <c r="J77" s="479"/>
      <c r="K77" s="478"/>
      <c r="L77" s="485">
        <f>SUM(L75:L75)</f>
        <v>154</v>
      </c>
      <c r="M77" s="486">
        <f>N77+P77</f>
        <v>164</v>
      </c>
      <c r="N77" s="479"/>
      <c r="O77" s="478"/>
      <c r="P77" s="485">
        <f>SUM(P75)</f>
        <v>164</v>
      </c>
      <c r="Q77" s="486">
        <f t="shared" si="15"/>
        <v>172.9</v>
      </c>
      <c r="R77" s="479"/>
      <c r="S77" s="478"/>
      <c r="T77" s="485">
        <f>SUM(T75:T76)</f>
        <v>172.9</v>
      </c>
      <c r="U77" s="475"/>
      <c r="V77" s="480"/>
    </row>
    <row r="78" spans="1:22" ht="30.75" customHeight="1">
      <c r="A78" s="911" t="s">
        <v>29</v>
      </c>
      <c r="B78" s="856" t="s">
        <v>25</v>
      </c>
      <c r="C78" s="794" t="s">
        <v>34</v>
      </c>
      <c r="D78" s="956" t="s">
        <v>212</v>
      </c>
      <c r="E78" s="900" t="s">
        <v>80</v>
      </c>
      <c r="F78" s="925" t="s">
        <v>26</v>
      </c>
      <c r="G78" s="646">
        <v>2</v>
      </c>
      <c r="H78" s="305" t="s">
        <v>27</v>
      </c>
      <c r="I78" s="229"/>
      <c r="J78" s="314"/>
      <c r="K78" s="315"/>
      <c r="L78" s="316"/>
      <c r="M78" s="8">
        <f>N78+P78</f>
        <v>180</v>
      </c>
      <c r="N78" s="9"/>
      <c r="O78" s="9"/>
      <c r="P78" s="38">
        <v>180</v>
      </c>
      <c r="Q78" s="547">
        <f t="shared" si="15"/>
        <v>0</v>
      </c>
      <c r="R78" s="453"/>
      <c r="S78" s="453"/>
      <c r="T78" s="551">
        <v>0</v>
      </c>
      <c r="U78" s="68"/>
      <c r="V78" s="64"/>
    </row>
    <row r="79" spans="1:22" ht="14.25" customHeight="1" thickBot="1">
      <c r="A79" s="912"/>
      <c r="B79" s="857"/>
      <c r="C79" s="795"/>
      <c r="D79" s="957"/>
      <c r="E79" s="902"/>
      <c r="F79" s="926"/>
      <c r="G79" s="750"/>
      <c r="H79" s="567" t="s">
        <v>28</v>
      </c>
      <c r="I79" s="486"/>
      <c r="J79" s="478"/>
      <c r="K79" s="478"/>
      <c r="L79" s="546"/>
      <c r="M79" s="475">
        <f>SUM(M78:M78)</f>
        <v>180</v>
      </c>
      <c r="N79" s="473"/>
      <c r="O79" s="473"/>
      <c r="P79" s="549">
        <f>SUM(P78:P78)</f>
        <v>180</v>
      </c>
      <c r="Q79" s="475">
        <f t="shared" si="15"/>
        <v>0</v>
      </c>
      <c r="R79" s="473"/>
      <c r="S79" s="473"/>
      <c r="T79" s="549">
        <f>SUM(T78)</f>
        <v>0</v>
      </c>
      <c r="U79" s="480"/>
      <c r="V79" s="480"/>
    </row>
    <row r="80" spans="1:22" ht="29.25" customHeight="1">
      <c r="A80" s="722" t="s">
        <v>29</v>
      </c>
      <c r="B80" s="730" t="s">
        <v>25</v>
      </c>
      <c r="C80" s="757" t="s">
        <v>35</v>
      </c>
      <c r="D80" s="734" t="s">
        <v>153</v>
      </c>
      <c r="E80" s="762"/>
      <c r="F80" s="759" t="s">
        <v>26</v>
      </c>
      <c r="G80" s="651">
        <v>2</v>
      </c>
      <c r="H80" s="170" t="s">
        <v>27</v>
      </c>
      <c r="I80" s="120"/>
      <c r="J80" s="3"/>
      <c r="K80" s="3"/>
      <c r="L80" s="72"/>
      <c r="M80" s="229">
        <f>N80+P80</f>
        <v>183.20000000000002</v>
      </c>
      <c r="N80" s="231">
        <v>168.8</v>
      </c>
      <c r="O80" s="231"/>
      <c r="P80" s="232">
        <v>14.4</v>
      </c>
      <c r="Q80" s="683"/>
      <c r="R80" s="682"/>
      <c r="S80" s="453"/>
      <c r="T80" s="512"/>
      <c r="U80" s="169"/>
      <c r="V80" s="169"/>
    </row>
    <row r="81" spans="1:22" ht="26.25" customHeight="1">
      <c r="A81" s="735"/>
      <c r="B81" s="739"/>
      <c r="C81" s="758"/>
      <c r="D81" s="677" t="s">
        <v>213</v>
      </c>
      <c r="E81" s="753"/>
      <c r="F81" s="760"/>
      <c r="G81" s="649"/>
      <c r="H81" s="115" t="s">
        <v>154</v>
      </c>
      <c r="I81" s="55">
        <f>J81+L81</f>
        <v>84.4</v>
      </c>
      <c r="J81" s="56"/>
      <c r="K81" s="56"/>
      <c r="L81" s="57">
        <v>84.4</v>
      </c>
      <c r="M81" s="94"/>
      <c r="N81" s="149"/>
      <c r="O81" s="149"/>
      <c r="P81" s="234"/>
      <c r="Q81" s="559"/>
      <c r="R81" s="459"/>
      <c r="S81" s="459"/>
      <c r="T81" s="460"/>
      <c r="U81" s="275"/>
      <c r="V81" s="275"/>
    </row>
    <row r="82" spans="1:22" ht="30" customHeight="1">
      <c r="A82" s="735"/>
      <c r="B82" s="739"/>
      <c r="C82" s="758"/>
      <c r="D82" s="677" t="s">
        <v>214</v>
      </c>
      <c r="E82" s="753" t="s">
        <v>79</v>
      </c>
      <c r="F82" s="760"/>
      <c r="G82" s="649"/>
      <c r="H82" s="18" t="s">
        <v>27</v>
      </c>
      <c r="I82" s="709"/>
      <c r="J82" s="298"/>
      <c r="K82" s="298"/>
      <c r="L82" s="709"/>
      <c r="M82" s="710"/>
      <c r="N82" s="344"/>
      <c r="O82" s="344"/>
      <c r="P82" s="346"/>
      <c r="Q82" s="711">
        <f>R82+T82</f>
        <v>50</v>
      </c>
      <c r="R82" s="712">
        <f>20+30</f>
        <v>50</v>
      </c>
      <c r="S82" s="687"/>
      <c r="T82" s="713"/>
      <c r="U82" s="270"/>
      <c r="V82" s="270"/>
    </row>
    <row r="83" spans="1:22" ht="18.75" customHeight="1">
      <c r="A83" s="735"/>
      <c r="B83" s="739"/>
      <c r="C83" s="726"/>
      <c r="D83" s="908" t="s">
        <v>215</v>
      </c>
      <c r="E83" s="753"/>
      <c r="F83" s="720"/>
      <c r="G83" s="649"/>
      <c r="H83" s="140" t="s">
        <v>85</v>
      </c>
      <c r="I83" s="129">
        <f>J83+L83</f>
        <v>176</v>
      </c>
      <c r="J83" s="137"/>
      <c r="K83" s="137"/>
      <c r="L83" s="136">
        <v>176</v>
      </c>
      <c r="M83" s="262"/>
      <c r="N83" s="42"/>
      <c r="O83" s="42"/>
      <c r="P83" s="52"/>
      <c r="Q83" s="548"/>
      <c r="R83" s="575"/>
      <c r="S83" s="575"/>
      <c r="T83" s="457"/>
      <c r="U83" s="165"/>
      <c r="V83" s="165"/>
    </row>
    <row r="84" spans="1:22" ht="13.5" customHeight="1" thickBot="1">
      <c r="A84" s="723"/>
      <c r="B84" s="731"/>
      <c r="C84" s="727"/>
      <c r="D84" s="909"/>
      <c r="E84" s="736"/>
      <c r="F84" s="761"/>
      <c r="G84" s="650"/>
      <c r="H84" s="484" t="s">
        <v>28</v>
      </c>
      <c r="I84" s="479">
        <f>J84+L84</f>
        <v>260.39999999999998</v>
      </c>
      <c r="J84" s="478"/>
      <c r="K84" s="485"/>
      <c r="L84" s="563">
        <f>SUM(L80:L83)</f>
        <v>260.39999999999998</v>
      </c>
      <c r="M84" s="475">
        <f>N84+P84</f>
        <v>183.20000000000002</v>
      </c>
      <c r="N84" s="473">
        <f>SUM(N80:N83)</f>
        <v>168.8</v>
      </c>
      <c r="O84" s="473"/>
      <c r="P84" s="539">
        <f>SUM(P80:P83)</f>
        <v>14.4</v>
      </c>
      <c r="Q84" s="475">
        <f>R84+T84</f>
        <v>50</v>
      </c>
      <c r="R84" s="473">
        <f>SUM(R80:R83)</f>
        <v>50</v>
      </c>
      <c r="S84" s="473"/>
      <c r="T84" s="539"/>
      <c r="U84" s="480"/>
      <c r="V84" s="480"/>
    </row>
    <row r="85" spans="1:22" ht="31.5" customHeight="1">
      <c r="A85" s="722" t="s">
        <v>29</v>
      </c>
      <c r="B85" s="730" t="s">
        <v>25</v>
      </c>
      <c r="C85" s="757" t="s">
        <v>169</v>
      </c>
      <c r="D85" s="734" t="s">
        <v>122</v>
      </c>
      <c r="E85" s="900" t="s">
        <v>121</v>
      </c>
      <c r="F85" s="759" t="s">
        <v>26</v>
      </c>
      <c r="G85" s="651">
        <v>2</v>
      </c>
      <c r="H85" s="170" t="s">
        <v>27</v>
      </c>
      <c r="I85" s="119">
        <f>J85+L85</f>
        <v>100</v>
      </c>
      <c r="J85" s="3">
        <v>100</v>
      </c>
      <c r="K85" s="3"/>
      <c r="L85" s="72"/>
      <c r="M85" s="229">
        <f>N85+P85</f>
        <v>15</v>
      </c>
      <c r="N85" s="231">
        <v>15</v>
      </c>
      <c r="O85" s="231"/>
      <c r="P85" s="269"/>
      <c r="Q85" s="547">
        <f>R85+T85</f>
        <v>10</v>
      </c>
      <c r="R85" s="453">
        <v>10</v>
      </c>
      <c r="S85" s="453"/>
      <c r="T85" s="512"/>
      <c r="U85" s="169"/>
      <c r="V85" s="169"/>
    </row>
    <row r="86" spans="1:22" ht="19.5" customHeight="1">
      <c r="A86" s="735"/>
      <c r="B86" s="739"/>
      <c r="C86" s="758"/>
      <c r="D86" s="737" t="s">
        <v>123</v>
      </c>
      <c r="E86" s="901"/>
      <c r="F86" s="760"/>
      <c r="G86" s="649"/>
      <c r="H86" s="115" t="s">
        <v>85</v>
      </c>
      <c r="I86" s="179">
        <f>J86+L86</f>
        <v>50</v>
      </c>
      <c r="J86" s="51">
        <v>50</v>
      </c>
      <c r="K86" s="51"/>
      <c r="L86" s="57"/>
      <c r="M86" s="211"/>
      <c r="N86" s="273"/>
      <c r="O86" s="273"/>
      <c r="P86" s="273"/>
      <c r="Q86" s="559"/>
      <c r="R86" s="554"/>
      <c r="S86" s="554"/>
      <c r="T86" s="460"/>
      <c r="U86" s="275">
        <v>300</v>
      </c>
      <c r="V86" s="275"/>
    </row>
    <row r="87" spans="1:22" ht="14.25" customHeight="1">
      <c r="A87" s="735"/>
      <c r="B87" s="739"/>
      <c r="C87" s="726"/>
      <c r="D87" s="908" t="s">
        <v>124</v>
      </c>
      <c r="E87" s="901"/>
      <c r="F87" s="720"/>
      <c r="G87" s="652"/>
      <c r="H87" s="31"/>
      <c r="I87" s="134"/>
      <c r="J87" s="137"/>
      <c r="K87" s="137"/>
      <c r="L87" s="136"/>
      <c r="M87" s="262"/>
      <c r="N87" s="42"/>
      <c r="O87" s="42"/>
      <c r="P87" s="42"/>
      <c r="Q87" s="548"/>
      <c r="R87" s="575"/>
      <c r="S87" s="575"/>
      <c r="T87" s="457"/>
      <c r="U87" s="165"/>
      <c r="V87" s="165"/>
    </row>
    <row r="88" spans="1:22" ht="15" customHeight="1" thickBot="1">
      <c r="A88" s="723"/>
      <c r="B88" s="731"/>
      <c r="C88" s="727"/>
      <c r="D88" s="909"/>
      <c r="E88" s="902"/>
      <c r="F88" s="761"/>
      <c r="G88" s="650"/>
      <c r="H88" s="484" t="s">
        <v>28</v>
      </c>
      <c r="I88" s="477">
        <f>J88+L88</f>
        <v>150</v>
      </c>
      <c r="J88" s="478">
        <f>SUM(J85:J87)</f>
        <v>150</v>
      </c>
      <c r="K88" s="485"/>
      <c r="L88" s="563"/>
      <c r="M88" s="475">
        <f>N88+P88</f>
        <v>15</v>
      </c>
      <c r="N88" s="473">
        <f>SUM(N85:N87)</f>
        <v>15</v>
      </c>
      <c r="O88" s="473"/>
      <c r="P88" s="549"/>
      <c r="Q88" s="475">
        <f>R88+T88</f>
        <v>10</v>
      </c>
      <c r="R88" s="473">
        <f>SUM(R85:R87)</f>
        <v>10</v>
      </c>
      <c r="S88" s="473"/>
      <c r="T88" s="539"/>
      <c r="U88" s="480">
        <f>SUM(U86:U87)</f>
        <v>300</v>
      </c>
      <c r="V88" s="480"/>
    </row>
    <row r="89" spans="1:22" ht="71.25" customHeight="1">
      <c r="A89" s="743" t="s">
        <v>29</v>
      </c>
      <c r="B89" s="746" t="s">
        <v>25</v>
      </c>
      <c r="C89" s="791" t="s">
        <v>10</v>
      </c>
      <c r="D89" s="941" t="s">
        <v>232</v>
      </c>
      <c r="E89" s="628" t="s">
        <v>179</v>
      </c>
      <c r="F89" s="632" t="s">
        <v>26</v>
      </c>
      <c r="G89" s="653">
        <v>6</v>
      </c>
      <c r="H89" s="239" t="s">
        <v>27</v>
      </c>
      <c r="I89" s="141">
        <f>J89+L89</f>
        <v>1500</v>
      </c>
      <c r="J89" s="129">
        <v>1500</v>
      </c>
      <c r="K89" s="135"/>
      <c r="L89" s="128"/>
      <c r="M89" s="127">
        <f>N89+P89</f>
        <v>1280</v>
      </c>
      <c r="N89" s="135">
        <f>1500-220</f>
        <v>1280</v>
      </c>
      <c r="O89" s="137"/>
      <c r="P89" s="137"/>
      <c r="Q89" s="548">
        <f>R89+T89</f>
        <v>600</v>
      </c>
      <c r="R89" s="565">
        <v>600</v>
      </c>
      <c r="S89" s="456"/>
      <c r="T89" s="576"/>
      <c r="U89" s="138">
        <v>640</v>
      </c>
      <c r="V89" s="131">
        <v>640</v>
      </c>
    </row>
    <row r="90" spans="1:22" ht="18" customHeight="1" thickBot="1">
      <c r="A90" s="188"/>
      <c r="B90" s="746"/>
      <c r="C90" s="791"/>
      <c r="D90" s="941"/>
      <c r="E90" s="628"/>
      <c r="F90" s="632"/>
      <c r="G90" s="653"/>
      <c r="H90" s="570" t="s">
        <v>28</v>
      </c>
      <c r="I90" s="486">
        <f>SUM(I89)</f>
        <v>1500</v>
      </c>
      <c r="J90" s="479">
        <f>SUM(J89)</f>
        <v>1500</v>
      </c>
      <c r="K90" s="478"/>
      <c r="L90" s="571"/>
      <c r="M90" s="486">
        <f>SUM(M89)</f>
        <v>1280</v>
      </c>
      <c r="N90" s="478">
        <f>SUM(N89)</f>
        <v>1280</v>
      </c>
      <c r="O90" s="546"/>
      <c r="P90" s="546"/>
      <c r="Q90" s="475">
        <f>R90+T90</f>
        <v>600</v>
      </c>
      <c r="R90" s="474">
        <f>SUM(R89)</f>
        <v>600</v>
      </c>
      <c r="S90" s="473"/>
      <c r="T90" s="493"/>
      <c r="U90" s="550">
        <f>SUM(U89:U89)</f>
        <v>640</v>
      </c>
      <c r="V90" s="550">
        <f>SUM(V89)</f>
        <v>640</v>
      </c>
    </row>
    <row r="91" spans="1:22" ht="16.5" customHeight="1">
      <c r="A91" s="911" t="s">
        <v>29</v>
      </c>
      <c r="B91" s="856" t="s">
        <v>25</v>
      </c>
      <c r="C91" s="813" t="s">
        <v>26</v>
      </c>
      <c r="D91" s="931" t="s">
        <v>242</v>
      </c>
      <c r="E91" s="946" t="s">
        <v>87</v>
      </c>
      <c r="F91" s="971" t="s">
        <v>26</v>
      </c>
      <c r="G91" s="690" t="s">
        <v>90</v>
      </c>
      <c r="H91" s="86" t="s">
        <v>8</v>
      </c>
      <c r="I91" s="143"/>
      <c r="J91" s="144"/>
      <c r="K91" s="144"/>
      <c r="L91" s="145"/>
      <c r="M91" s="105">
        <f>P91+N91</f>
        <v>768.34100000000001</v>
      </c>
      <c r="N91" s="61"/>
      <c r="O91" s="61"/>
      <c r="P91" s="62">
        <v>768.34100000000001</v>
      </c>
      <c r="Q91" s="581"/>
      <c r="R91" s="514"/>
      <c r="S91" s="514"/>
      <c r="T91" s="582"/>
      <c r="U91" s="64"/>
      <c r="V91" s="203"/>
    </row>
    <row r="92" spans="1:22" ht="16.5" customHeight="1">
      <c r="A92" s="930"/>
      <c r="B92" s="910"/>
      <c r="C92" s="913"/>
      <c r="D92" s="932"/>
      <c r="E92" s="947"/>
      <c r="F92" s="972"/>
      <c r="G92" s="686"/>
      <c r="H92" s="18" t="s">
        <v>27</v>
      </c>
      <c r="I92" s="49"/>
      <c r="J92" s="4"/>
      <c r="K92" s="4"/>
      <c r="L92" s="50"/>
      <c r="M92" s="106"/>
      <c r="N92" s="19"/>
      <c r="O92" s="19"/>
      <c r="P92" s="107"/>
      <c r="Q92" s="691">
        <f>R92+T92</f>
        <v>7.5</v>
      </c>
      <c r="R92" s="692">
        <v>7.5</v>
      </c>
      <c r="S92" s="553"/>
      <c r="T92" s="687"/>
      <c r="U92" s="688"/>
      <c r="V92" s="689"/>
    </row>
    <row r="93" spans="1:22" ht="16.5" customHeight="1">
      <c r="A93" s="930"/>
      <c r="B93" s="910"/>
      <c r="C93" s="914"/>
      <c r="D93" s="933"/>
      <c r="E93" s="948"/>
      <c r="F93" s="973"/>
      <c r="G93" s="654"/>
      <c r="H93" s="21" t="s">
        <v>9</v>
      </c>
      <c r="I93" s="73">
        <f>J93+L93</f>
        <v>280.39999999999998</v>
      </c>
      <c r="J93" s="56"/>
      <c r="K93" s="56"/>
      <c r="L93" s="57">
        <v>280.39999999999998</v>
      </c>
      <c r="M93" s="22">
        <f>N93+P93</f>
        <v>280.39999999999998</v>
      </c>
      <c r="N93" s="23"/>
      <c r="O93" s="23"/>
      <c r="P93" s="27">
        <v>280.39999999999998</v>
      </c>
      <c r="Q93" s="458">
        <f>R93+T93</f>
        <v>280.39999999999998</v>
      </c>
      <c r="R93" s="459"/>
      <c r="S93" s="459"/>
      <c r="T93" s="554">
        <v>280.39999999999998</v>
      </c>
      <c r="U93" s="28"/>
      <c r="V93" s="225"/>
    </row>
    <row r="94" spans="1:22" ht="16.5" customHeight="1" thickBot="1">
      <c r="A94" s="912"/>
      <c r="B94" s="857"/>
      <c r="C94" s="915"/>
      <c r="D94" s="934"/>
      <c r="E94" s="949"/>
      <c r="F94" s="974"/>
      <c r="G94" s="732"/>
      <c r="H94" s="567" t="s">
        <v>28</v>
      </c>
      <c r="I94" s="486">
        <f>SUM(I91:I93)</f>
        <v>280.39999999999998</v>
      </c>
      <c r="J94" s="479"/>
      <c r="K94" s="478"/>
      <c r="L94" s="571">
        <f>SUM(L91:L93)</f>
        <v>280.39999999999998</v>
      </c>
      <c r="M94" s="549">
        <f>SUM(M91:M93)</f>
        <v>1048.741</v>
      </c>
      <c r="N94" s="473"/>
      <c r="O94" s="474"/>
      <c r="P94" s="539">
        <f>SUM(P91:P93)</f>
        <v>1048.741</v>
      </c>
      <c r="Q94" s="473">
        <f>R94+T94</f>
        <v>287.89999999999998</v>
      </c>
      <c r="R94" s="474">
        <f>SUM(R91:R93)</f>
        <v>7.5</v>
      </c>
      <c r="S94" s="473"/>
      <c r="T94" s="474">
        <f>SUM(T93)</f>
        <v>280.39999999999998</v>
      </c>
      <c r="U94" s="480"/>
      <c r="V94" s="493"/>
    </row>
    <row r="95" spans="1:22" ht="25.5" customHeight="1">
      <c r="A95" s="740" t="s">
        <v>29</v>
      </c>
      <c r="B95" s="730" t="s">
        <v>25</v>
      </c>
      <c r="C95" s="894" t="s">
        <v>12</v>
      </c>
      <c r="D95" s="796" t="s">
        <v>108</v>
      </c>
      <c r="E95" s="629"/>
      <c r="F95" s="633"/>
      <c r="G95" s="655"/>
      <c r="H95" s="265" t="s">
        <v>96</v>
      </c>
      <c r="I95" s="317"/>
      <c r="J95" s="318"/>
      <c r="K95" s="319"/>
      <c r="L95" s="318"/>
      <c r="M95" s="171">
        <f>N95+P95</f>
        <v>75</v>
      </c>
      <c r="N95" s="144">
        <v>75</v>
      </c>
      <c r="O95" s="204"/>
      <c r="P95" s="145"/>
      <c r="Q95" s="583">
        <f>R95+T95</f>
        <v>75</v>
      </c>
      <c r="R95" s="584">
        <v>75</v>
      </c>
      <c r="S95" s="585"/>
      <c r="T95" s="586"/>
      <c r="U95" s="310"/>
      <c r="V95" s="311"/>
    </row>
    <row r="96" spans="1:22" ht="17.25" customHeight="1" thickBot="1">
      <c r="A96" s="741"/>
      <c r="B96" s="731"/>
      <c r="C96" s="895"/>
      <c r="D96" s="797"/>
      <c r="E96" s="751"/>
      <c r="F96" s="755"/>
      <c r="G96" s="656"/>
      <c r="H96" s="567" t="s">
        <v>28</v>
      </c>
      <c r="I96" s="486"/>
      <c r="J96" s="479"/>
      <c r="K96" s="478"/>
      <c r="L96" s="479"/>
      <c r="M96" s="472">
        <f>SUM(M95:M95)</f>
        <v>75</v>
      </c>
      <c r="N96" s="473">
        <f>SUM(N95:N95)</f>
        <v>75</v>
      </c>
      <c r="O96" s="474"/>
      <c r="P96" s="539"/>
      <c r="Q96" s="476">
        <f>R96+T96</f>
        <v>75</v>
      </c>
      <c r="R96" s="474">
        <f>SUM(R95)</f>
        <v>75</v>
      </c>
      <c r="S96" s="473"/>
      <c r="T96" s="474"/>
      <c r="U96" s="480"/>
      <c r="V96" s="493"/>
    </row>
    <row r="97" spans="1:22" ht="14.25" customHeight="1">
      <c r="A97" s="930" t="s">
        <v>29</v>
      </c>
      <c r="B97" s="910" t="s">
        <v>25</v>
      </c>
      <c r="C97" s="938" t="s">
        <v>13</v>
      </c>
      <c r="D97" s="792" t="s">
        <v>216</v>
      </c>
      <c r="E97" s="939" t="s">
        <v>81</v>
      </c>
      <c r="F97" s="720" t="s">
        <v>26</v>
      </c>
      <c r="G97" s="654">
        <v>5</v>
      </c>
      <c r="H97" s="155" t="s">
        <v>27</v>
      </c>
      <c r="I97" s="132">
        <f>J97+L97</f>
        <v>251.1</v>
      </c>
      <c r="J97" s="122">
        <v>158.5</v>
      </c>
      <c r="K97" s="133"/>
      <c r="L97" s="123">
        <v>92.6</v>
      </c>
      <c r="M97" s="109"/>
      <c r="N97" s="15"/>
      <c r="O97" s="110"/>
      <c r="P97" s="111"/>
      <c r="Q97" s="587"/>
      <c r="R97" s="454"/>
      <c r="S97" s="588"/>
      <c r="T97" s="455"/>
      <c r="U97" s="156"/>
      <c r="V97" s="157"/>
    </row>
    <row r="98" spans="1:22" ht="14.25" customHeight="1">
      <c r="A98" s="930"/>
      <c r="B98" s="910"/>
      <c r="C98" s="938"/>
      <c r="D98" s="792"/>
      <c r="E98" s="939"/>
      <c r="F98" s="634"/>
      <c r="G98" s="654"/>
      <c r="H98" s="18" t="s">
        <v>8</v>
      </c>
      <c r="I98" s="132">
        <f>J98+L98</f>
        <v>894.5</v>
      </c>
      <c r="J98" s="122">
        <v>369.2</v>
      </c>
      <c r="K98" s="133"/>
      <c r="L98" s="123">
        <v>525.29999999999995</v>
      </c>
      <c r="M98" s="109"/>
      <c r="N98" s="15"/>
      <c r="O98" s="110"/>
      <c r="P98" s="111"/>
      <c r="Q98" s="587"/>
      <c r="R98" s="454"/>
      <c r="S98" s="588"/>
      <c r="T98" s="455"/>
      <c r="U98" s="158"/>
      <c r="V98" s="159"/>
    </row>
    <row r="99" spans="1:22" ht="14.25" customHeight="1">
      <c r="A99" s="930"/>
      <c r="B99" s="910"/>
      <c r="C99" s="938"/>
      <c r="D99" s="792"/>
      <c r="E99" s="939"/>
      <c r="F99" s="634"/>
      <c r="G99" s="654"/>
      <c r="H99" s="161" t="s">
        <v>9</v>
      </c>
      <c r="I99" s="134"/>
      <c r="J99" s="135"/>
      <c r="K99" s="129"/>
      <c r="L99" s="136"/>
      <c r="M99" s="79"/>
      <c r="N99" s="39"/>
      <c r="O99" s="71"/>
      <c r="P99" s="53"/>
      <c r="Q99" s="564"/>
      <c r="R99" s="456"/>
      <c r="S99" s="565"/>
      <c r="T99" s="457"/>
      <c r="U99" s="336"/>
      <c r="V99" s="337"/>
    </row>
    <row r="100" spans="1:22" ht="14.25" customHeight="1" thickBot="1">
      <c r="A100" s="912"/>
      <c r="B100" s="857"/>
      <c r="C100" s="880"/>
      <c r="D100" s="793"/>
      <c r="E100" s="940"/>
      <c r="F100" s="635"/>
      <c r="G100" s="657"/>
      <c r="H100" s="567" t="s">
        <v>28</v>
      </c>
      <c r="I100" s="477">
        <f>SUM(I97:I99)</f>
        <v>1145.5999999999999</v>
      </c>
      <c r="J100" s="478">
        <f>SUM(J97:J99)</f>
        <v>527.70000000000005</v>
      </c>
      <c r="K100" s="479"/>
      <c r="L100" s="563">
        <f>SUM(L97:L99)</f>
        <v>617.9</v>
      </c>
      <c r="M100" s="472"/>
      <c r="N100" s="473"/>
      <c r="O100" s="474"/>
      <c r="P100" s="539"/>
      <c r="Q100" s="472"/>
      <c r="R100" s="473"/>
      <c r="S100" s="474"/>
      <c r="T100" s="539"/>
      <c r="U100" s="472"/>
      <c r="V100" s="480"/>
    </row>
    <row r="101" spans="1:22" ht="15" customHeight="1">
      <c r="A101" s="742" t="s">
        <v>29</v>
      </c>
      <c r="B101" s="745" t="s">
        <v>25</v>
      </c>
      <c r="C101" s="894" t="s">
        <v>132</v>
      </c>
      <c r="D101" s="905" t="s">
        <v>135</v>
      </c>
      <c r="E101" s="626" t="s">
        <v>179</v>
      </c>
      <c r="F101" s="630" t="s">
        <v>26</v>
      </c>
      <c r="G101" s="651">
        <v>5</v>
      </c>
      <c r="H101" s="170" t="s">
        <v>27</v>
      </c>
      <c r="I101" s="119">
        <f>J101+L101</f>
        <v>526.9</v>
      </c>
      <c r="J101" s="3">
        <v>483.5</v>
      </c>
      <c r="K101" s="3"/>
      <c r="L101" s="72">
        <v>43.4</v>
      </c>
      <c r="M101" s="121">
        <f>N101+P101</f>
        <v>348.5</v>
      </c>
      <c r="N101" s="122">
        <f>182.2+130.4</f>
        <v>312.60000000000002</v>
      </c>
      <c r="O101" s="122"/>
      <c r="P101" s="124">
        <f>25.7+10.2</f>
        <v>35.9</v>
      </c>
      <c r="Q101" s="463">
        <f>R101+T101</f>
        <v>348.5</v>
      </c>
      <c r="R101" s="464">
        <v>312.60000000000002</v>
      </c>
      <c r="S101" s="464"/>
      <c r="T101" s="465">
        <v>35.9</v>
      </c>
      <c r="U101" s="125"/>
      <c r="V101" s="126"/>
    </row>
    <row r="102" spans="1:22" ht="15" customHeight="1">
      <c r="A102" s="743"/>
      <c r="B102" s="746"/>
      <c r="C102" s="904"/>
      <c r="D102" s="906"/>
      <c r="E102" s="628" t="s">
        <v>6</v>
      </c>
      <c r="F102" s="632"/>
      <c r="G102" s="649"/>
      <c r="H102" s="115" t="s">
        <v>8</v>
      </c>
      <c r="I102" s="141">
        <f>J102+L102</f>
        <v>2141.98</v>
      </c>
      <c r="J102" s="127">
        <v>1826.7</v>
      </c>
      <c r="K102" s="127"/>
      <c r="L102" s="128">
        <v>315.27999999999997</v>
      </c>
      <c r="M102" s="127">
        <f>N102+P102</f>
        <v>1976</v>
      </c>
      <c r="N102" s="127">
        <f>1031.7+741.4</f>
        <v>1773.1</v>
      </c>
      <c r="O102" s="127"/>
      <c r="P102" s="129">
        <f>145.4+57.5</f>
        <v>202.9</v>
      </c>
      <c r="Q102" s="518">
        <f>R102+T102</f>
        <v>1976</v>
      </c>
      <c r="R102" s="589">
        <v>1773.1</v>
      </c>
      <c r="S102" s="589"/>
      <c r="T102" s="489">
        <v>202.9</v>
      </c>
      <c r="U102" s="130"/>
      <c r="V102" s="131"/>
    </row>
    <row r="103" spans="1:22" ht="15" customHeight="1" thickBot="1">
      <c r="A103" s="186"/>
      <c r="B103" s="747"/>
      <c r="C103" s="895"/>
      <c r="D103" s="907"/>
      <c r="E103" s="627"/>
      <c r="F103" s="631"/>
      <c r="G103" s="650"/>
      <c r="H103" s="484" t="s">
        <v>28</v>
      </c>
      <c r="I103" s="577">
        <f>SUM(I101:I102)</f>
        <v>2668.88</v>
      </c>
      <c r="J103" s="578">
        <f>SUM(J101:J102)</f>
        <v>2310.1999999999998</v>
      </c>
      <c r="K103" s="579"/>
      <c r="L103" s="580">
        <f>SUM(L101:L102)</f>
        <v>358.67999999999995</v>
      </c>
      <c r="M103" s="546">
        <f>N103+P103</f>
        <v>2324.5</v>
      </c>
      <c r="N103" s="478">
        <f>SUM(N101:N102)</f>
        <v>2085.6999999999998</v>
      </c>
      <c r="O103" s="479"/>
      <c r="P103" s="546">
        <f>SUM(P101:P102)</f>
        <v>238.8</v>
      </c>
      <c r="Q103" s="477">
        <f>R103+T103</f>
        <v>2324.5</v>
      </c>
      <c r="R103" s="478">
        <f>SUM(R101:R102)</f>
        <v>2085.6999999999998</v>
      </c>
      <c r="S103" s="479"/>
      <c r="T103" s="563">
        <f>SUM(T101:T102)</f>
        <v>238.8</v>
      </c>
      <c r="U103" s="479"/>
      <c r="V103" s="550"/>
    </row>
    <row r="104" spans="1:22" ht="16.5" customHeight="1" thickBot="1">
      <c r="A104" s="741" t="s">
        <v>29</v>
      </c>
      <c r="B104" s="181" t="s">
        <v>25</v>
      </c>
      <c r="C104" s="828" t="s">
        <v>32</v>
      </c>
      <c r="D104" s="829"/>
      <c r="E104" s="829"/>
      <c r="F104" s="829"/>
      <c r="G104" s="829"/>
      <c r="H104" s="829"/>
      <c r="I104" s="285">
        <f>J104+L104</f>
        <v>22430.58</v>
      </c>
      <c r="J104" s="286">
        <f>J103+J100+J96+J94+J90+J88+J84+J79+J77+J74+J69+J66</f>
        <v>4522.8999999999996</v>
      </c>
      <c r="K104" s="286"/>
      <c r="L104" s="287">
        <f>L103+L100+L96+L94+L90+L88+L84+L79+L77+L74+L69+L66</f>
        <v>17907.68</v>
      </c>
      <c r="M104" s="285">
        <f>N104+P104</f>
        <v>20941.041000000001</v>
      </c>
      <c r="N104" s="286">
        <f>N103+N100+N96+N94+N90+N88+N84+N79+N77+N74+N69+N66</f>
        <v>3624.5</v>
      </c>
      <c r="O104" s="286"/>
      <c r="P104" s="287">
        <f>P103+P100+P96+P94+P90+P88+P84+P79+P77+P74+P69+P66</f>
        <v>17316.541000000001</v>
      </c>
      <c r="Q104" s="285">
        <f>R104+T104</f>
        <v>20040.900000000001</v>
      </c>
      <c r="R104" s="286">
        <f>R103+R100+R96+R94+R90+R88+R84+R79+R74+R77+R69+R66</f>
        <v>2842.7</v>
      </c>
      <c r="S104" s="286"/>
      <c r="T104" s="287">
        <f>T103+T100+T96+T94+T90+T88+T84+T79+T77+T74+T69+T66</f>
        <v>17198.2</v>
      </c>
      <c r="U104" s="296">
        <f>U103+U100+U96+U94+U90+U88+U84+U79+U77+U74+U69+U66</f>
        <v>12286.4</v>
      </c>
      <c r="V104" s="297">
        <f>V103+V100+V96+V94+V90+V88+V84+V79+V77+V74+V69+V66</f>
        <v>7152.9</v>
      </c>
    </row>
    <row r="105" spans="1:22" ht="16.5" customHeight="1" thickBot="1">
      <c r="A105" s="748" t="s">
        <v>29</v>
      </c>
      <c r="B105" s="276" t="s">
        <v>29</v>
      </c>
      <c r="C105" s="935" t="s">
        <v>127</v>
      </c>
      <c r="D105" s="936"/>
      <c r="E105" s="936"/>
      <c r="F105" s="936"/>
      <c r="G105" s="936"/>
      <c r="H105" s="936"/>
      <c r="I105" s="936"/>
      <c r="J105" s="936"/>
      <c r="K105" s="936"/>
      <c r="L105" s="936"/>
      <c r="M105" s="936"/>
      <c r="N105" s="936"/>
      <c r="O105" s="936"/>
      <c r="P105" s="936"/>
      <c r="Q105" s="936"/>
      <c r="R105" s="936"/>
      <c r="S105" s="936"/>
      <c r="T105" s="936"/>
      <c r="U105" s="936"/>
      <c r="V105" s="937"/>
    </row>
    <row r="106" spans="1:22" ht="41.25" customHeight="1">
      <c r="A106" s="722" t="s">
        <v>29</v>
      </c>
      <c r="B106" s="730" t="s">
        <v>29</v>
      </c>
      <c r="C106" s="758" t="s">
        <v>25</v>
      </c>
      <c r="D106" s="304" t="s">
        <v>120</v>
      </c>
      <c r="E106" s="900" t="s">
        <v>121</v>
      </c>
      <c r="F106" s="759" t="s">
        <v>26</v>
      </c>
      <c r="G106" s="749">
        <v>2</v>
      </c>
      <c r="H106" s="140" t="s">
        <v>27</v>
      </c>
      <c r="I106" s="129"/>
      <c r="J106" s="137"/>
      <c r="K106" s="137"/>
      <c r="L106" s="136"/>
      <c r="M106" s="129">
        <f>N106+P106</f>
        <v>200</v>
      </c>
      <c r="N106" s="137">
        <v>200</v>
      </c>
      <c r="O106" s="137"/>
      <c r="P106" s="137"/>
      <c r="Q106" s="596"/>
      <c r="R106" s="540"/>
      <c r="S106" s="540"/>
      <c r="T106" s="569"/>
      <c r="U106" s="281">
        <v>200</v>
      </c>
      <c r="V106" s="290">
        <v>200</v>
      </c>
    </row>
    <row r="107" spans="1:22" ht="16.5" customHeight="1">
      <c r="A107" s="735"/>
      <c r="B107" s="739"/>
      <c r="C107" s="758"/>
      <c r="D107" s="737" t="s">
        <v>217</v>
      </c>
      <c r="E107" s="901"/>
      <c r="F107" s="760"/>
      <c r="G107" s="749"/>
      <c r="H107" s="140"/>
      <c r="I107" s="129"/>
      <c r="J107" s="137"/>
      <c r="K107" s="137"/>
      <c r="L107" s="136"/>
      <c r="M107" s="129"/>
      <c r="N107" s="137"/>
      <c r="O107" s="137"/>
      <c r="P107" s="137"/>
      <c r="Q107" s="596"/>
      <c r="R107" s="540"/>
      <c r="S107" s="540"/>
      <c r="T107" s="569"/>
      <c r="U107" s="281"/>
      <c r="V107" s="288"/>
    </row>
    <row r="108" spans="1:22" ht="15" customHeight="1">
      <c r="A108" s="735"/>
      <c r="B108" s="739"/>
      <c r="C108" s="726"/>
      <c r="D108" s="737" t="s">
        <v>218</v>
      </c>
      <c r="E108" s="901"/>
      <c r="F108" s="720"/>
      <c r="G108" s="647"/>
      <c r="H108" s="31"/>
      <c r="I108" s="71"/>
      <c r="J108" s="40"/>
      <c r="K108" s="40"/>
      <c r="L108" s="53"/>
      <c r="M108" s="71"/>
      <c r="N108" s="40"/>
      <c r="O108" s="40"/>
      <c r="P108" s="40"/>
      <c r="Q108" s="596"/>
      <c r="R108" s="540"/>
      <c r="S108" s="540"/>
      <c r="T108" s="569"/>
      <c r="U108" s="137"/>
      <c r="V108" s="288"/>
    </row>
    <row r="109" spans="1:22" s="70" customFormat="1" ht="15" customHeight="1">
      <c r="A109" s="735"/>
      <c r="B109" s="739"/>
      <c r="C109" s="267"/>
      <c r="D109" s="303" t="s">
        <v>220</v>
      </c>
      <c r="E109" s="901"/>
      <c r="F109" s="624"/>
      <c r="G109" s="749"/>
      <c r="H109" s="161"/>
      <c r="I109" s="129"/>
      <c r="J109" s="137"/>
      <c r="K109" s="137"/>
      <c r="L109" s="136"/>
      <c r="M109" s="129"/>
      <c r="N109" s="137"/>
      <c r="O109" s="137"/>
      <c r="P109" s="137"/>
      <c r="Q109" s="596"/>
      <c r="R109" s="540"/>
      <c r="S109" s="540"/>
      <c r="T109" s="569"/>
      <c r="U109" s="258"/>
      <c r="V109" s="289"/>
    </row>
    <row r="110" spans="1:22" s="70" customFormat="1" ht="15.75" customHeight="1">
      <c r="A110" s="735"/>
      <c r="B110" s="739"/>
      <c r="C110" s="267"/>
      <c r="D110" s="303" t="s">
        <v>221</v>
      </c>
      <c r="E110" s="901"/>
      <c r="F110" s="625"/>
      <c r="G110" s="647"/>
      <c r="H110" s="92"/>
      <c r="I110" s="71"/>
      <c r="J110" s="40"/>
      <c r="K110" s="40"/>
      <c r="L110" s="53"/>
      <c r="M110" s="71"/>
      <c r="N110" s="40"/>
      <c r="O110" s="40"/>
      <c r="P110" s="40"/>
      <c r="Q110" s="596"/>
      <c r="R110" s="540"/>
      <c r="S110" s="540"/>
      <c r="T110" s="569"/>
      <c r="U110" s="258"/>
      <c r="V110" s="289"/>
    </row>
    <row r="111" spans="1:22" ht="14.25" customHeight="1">
      <c r="A111" s="735"/>
      <c r="B111" s="739"/>
      <c r="C111" s="726"/>
      <c r="D111" s="303" t="s">
        <v>222</v>
      </c>
      <c r="E111" s="901"/>
      <c r="F111" s="624"/>
      <c r="G111" s="658"/>
      <c r="H111" s="140"/>
      <c r="I111" s="133"/>
      <c r="J111" s="124"/>
      <c r="K111" s="124"/>
      <c r="L111" s="123"/>
      <c r="M111" s="133"/>
      <c r="N111" s="124"/>
      <c r="O111" s="124"/>
      <c r="P111" s="124"/>
      <c r="Q111" s="597"/>
      <c r="R111" s="598"/>
      <c r="S111" s="598"/>
      <c r="T111" s="599"/>
      <c r="U111" s="124"/>
      <c r="V111" s="288"/>
    </row>
    <row r="112" spans="1:22" ht="17.25" customHeight="1" thickBot="1">
      <c r="A112" s="723"/>
      <c r="B112" s="731"/>
      <c r="C112" s="727"/>
      <c r="D112" s="729" t="s">
        <v>219</v>
      </c>
      <c r="E112" s="902"/>
      <c r="F112" s="761"/>
      <c r="G112" s="645"/>
      <c r="H112" s="484" t="s">
        <v>28</v>
      </c>
      <c r="I112" s="590"/>
      <c r="J112" s="591"/>
      <c r="K112" s="591"/>
      <c r="L112" s="592"/>
      <c r="M112" s="590">
        <f>N112+P112</f>
        <v>200</v>
      </c>
      <c r="N112" s="591">
        <f>N106</f>
        <v>200</v>
      </c>
      <c r="O112" s="591"/>
      <c r="P112" s="593"/>
      <c r="Q112" s="461"/>
      <c r="R112" s="517"/>
      <c r="S112" s="517"/>
      <c r="T112" s="594"/>
      <c r="U112" s="516">
        <f>SUM(U106:U111)</f>
        <v>200</v>
      </c>
      <c r="V112" s="595">
        <f>SUM(V106:V111)</f>
        <v>200</v>
      </c>
    </row>
    <row r="113" spans="1:22" ht="27.75" customHeight="1">
      <c r="A113" s="826" t="s">
        <v>29</v>
      </c>
      <c r="B113" s="745" t="s">
        <v>29</v>
      </c>
      <c r="C113" s="183" t="s">
        <v>29</v>
      </c>
      <c r="D113" s="924" t="s">
        <v>129</v>
      </c>
      <c r="E113" s="903" t="s">
        <v>78</v>
      </c>
      <c r="F113" s="830" t="s">
        <v>26</v>
      </c>
      <c r="G113" s="831" t="s">
        <v>89</v>
      </c>
      <c r="H113" s="59" t="s">
        <v>30</v>
      </c>
      <c r="I113" s="277"/>
      <c r="J113" s="278"/>
      <c r="K113" s="279"/>
      <c r="L113" s="280"/>
      <c r="M113" s="338">
        <f>N113+P113</f>
        <v>20</v>
      </c>
      <c r="N113" s="339"/>
      <c r="O113" s="340"/>
      <c r="P113" s="339">
        <v>20</v>
      </c>
      <c r="Q113" s="513">
        <f>R113+T113</f>
        <v>20</v>
      </c>
      <c r="R113" s="514"/>
      <c r="S113" s="515"/>
      <c r="T113" s="600">
        <v>20</v>
      </c>
      <c r="U113" s="103">
        <v>50</v>
      </c>
      <c r="V113" s="131"/>
    </row>
    <row r="114" spans="1:22" ht="16.5" customHeight="1" thickBot="1">
      <c r="A114" s="827"/>
      <c r="B114" s="747"/>
      <c r="C114" s="716"/>
      <c r="D114" s="909"/>
      <c r="E114" s="888"/>
      <c r="F114" s="802"/>
      <c r="G114" s="832"/>
      <c r="H114" s="567" t="s">
        <v>28</v>
      </c>
      <c r="I114" s="475"/>
      <c r="J114" s="473"/>
      <c r="K114" s="473"/>
      <c r="L114" s="539"/>
      <c r="M114" s="476">
        <f>M113</f>
        <v>20</v>
      </c>
      <c r="N114" s="474"/>
      <c r="O114" s="473"/>
      <c r="P114" s="474">
        <f>P113</f>
        <v>20</v>
      </c>
      <c r="Q114" s="475">
        <f>R114+T114</f>
        <v>20</v>
      </c>
      <c r="R114" s="473"/>
      <c r="S114" s="473"/>
      <c r="T114" s="539">
        <f>SUM(T113)</f>
        <v>20</v>
      </c>
      <c r="U114" s="539">
        <f>U113</f>
        <v>50</v>
      </c>
      <c r="V114" s="480"/>
    </row>
    <row r="115" spans="1:22" ht="27.75" customHeight="1">
      <c r="A115" s="811" t="s">
        <v>29</v>
      </c>
      <c r="B115" s="856" t="s">
        <v>29</v>
      </c>
      <c r="C115" s="813" t="s">
        <v>31</v>
      </c>
      <c r="D115" s="892" t="s">
        <v>241</v>
      </c>
      <c r="E115" s="903" t="s">
        <v>80</v>
      </c>
      <c r="F115" s="830" t="s">
        <v>26</v>
      </c>
      <c r="G115" s="644">
        <v>2</v>
      </c>
      <c r="H115" s="86" t="s">
        <v>27</v>
      </c>
      <c r="I115" s="63"/>
      <c r="J115" s="163"/>
      <c r="K115" s="164"/>
      <c r="L115" s="152"/>
      <c r="M115" s="74">
        <v>250</v>
      </c>
      <c r="N115" s="61">
        <v>250</v>
      </c>
      <c r="O115" s="61"/>
      <c r="P115" s="62"/>
      <c r="Q115" s="684">
        <f>R115+T115</f>
        <v>174.1</v>
      </c>
      <c r="R115" s="685">
        <f>125+20.4+23.7+5</f>
        <v>174.1</v>
      </c>
      <c r="S115" s="514"/>
      <c r="T115" s="582"/>
      <c r="U115" s="68">
        <v>160</v>
      </c>
      <c r="V115" s="64">
        <v>170</v>
      </c>
    </row>
    <row r="116" spans="1:22" ht="24.75" customHeight="1" thickBot="1">
      <c r="A116" s="812"/>
      <c r="B116" s="857"/>
      <c r="C116" s="814"/>
      <c r="D116" s="893"/>
      <c r="E116" s="888"/>
      <c r="F116" s="802"/>
      <c r="G116" s="645"/>
      <c r="H116" s="471" t="s">
        <v>28</v>
      </c>
      <c r="I116" s="475"/>
      <c r="J116" s="476"/>
      <c r="K116" s="476"/>
      <c r="L116" s="493"/>
      <c r="M116" s="476">
        <f>SUM(M115:M115)</f>
        <v>250</v>
      </c>
      <c r="N116" s="473">
        <f>SUM(N115)</f>
        <v>250</v>
      </c>
      <c r="O116" s="473"/>
      <c r="P116" s="473"/>
      <c r="Q116" s="472">
        <f>R116+T116</f>
        <v>174.1</v>
      </c>
      <c r="R116" s="473">
        <f>SUM(R115)</f>
        <v>174.1</v>
      </c>
      <c r="S116" s="473"/>
      <c r="T116" s="549"/>
      <c r="U116" s="480">
        <f>SUM(U115)</f>
        <v>160</v>
      </c>
      <c r="V116" s="480">
        <f>SUM(V115)</f>
        <v>170</v>
      </c>
    </row>
    <row r="117" spans="1:22" ht="16.5" customHeight="1" thickBot="1">
      <c r="A117" s="192" t="s">
        <v>29</v>
      </c>
      <c r="B117" s="181" t="s">
        <v>29</v>
      </c>
      <c r="C117" s="828"/>
      <c r="D117" s="829"/>
      <c r="E117" s="829"/>
      <c r="F117" s="829"/>
      <c r="G117" s="829"/>
      <c r="H117" s="829"/>
      <c r="I117" s="285"/>
      <c r="J117" s="286"/>
      <c r="K117" s="286"/>
      <c r="L117" s="287"/>
      <c r="M117" s="285">
        <f>N117+P117</f>
        <v>470</v>
      </c>
      <c r="N117" s="286">
        <f>N116+N114+N112</f>
        <v>450</v>
      </c>
      <c r="O117" s="286"/>
      <c r="P117" s="287">
        <f>P116+P114+P112</f>
        <v>20</v>
      </c>
      <c r="Q117" s="285">
        <f>R117+T117</f>
        <v>194.1</v>
      </c>
      <c r="R117" s="286">
        <f>R116+R114+R112</f>
        <v>174.1</v>
      </c>
      <c r="S117" s="286"/>
      <c r="T117" s="287">
        <f>T116+T114+T112</f>
        <v>20</v>
      </c>
      <c r="U117" s="285">
        <f>U116+U114+U112</f>
        <v>410</v>
      </c>
      <c r="V117" s="297">
        <f>V116+V114+V112</f>
        <v>370</v>
      </c>
    </row>
    <row r="118" spans="1:22" ht="16.5" customHeight="1" thickBot="1">
      <c r="A118" s="242" t="s">
        <v>29</v>
      </c>
      <c r="B118" s="266" t="s">
        <v>31</v>
      </c>
      <c r="C118" s="897" t="s">
        <v>126</v>
      </c>
      <c r="D118" s="897"/>
      <c r="E118" s="897"/>
      <c r="F118" s="897"/>
      <c r="G118" s="897"/>
      <c r="H118" s="897"/>
      <c r="I118" s="897"/>
      <c r="J118" s="897"/>
      <c r="K118" s="897"/>
      <c r="L118" s="897"/>
      <c r="M118" s="897"/>
      <c r="N118" s="897"/>
      <c r="O118" s="897"/>
      <c r="P118" s="897"/>
      <c r="Q118" s="897"/>
      <c r="R118" s="897"/>
      <c r="S118" s="897"/>
      <c r="T118" s="897"/>
      <c r="U118" s="897"/>
      <c r="V118" s="898"/>
    </row>
    <row r="119" spans="1:22" ht="26.25" customHeight="1">
      <c r="A119" s="180" t="s">
        <v>29</v>
      </c>
      <c r="B119" s="189" t="s">
        <v>31</v>
      </c>
      <c r="C119" s="264" t="s">
        <v>25</v>
      </c>
      <c r="D119" s="302" t="s">
        <v>130</v>
      </c>
      <c r="E119" s="609"/>
      <c r="F119" s="462" t="s">
        <v>26</v>
      </c>
      <c r="G119" s="637">
        <v>6</v>
      </c>
      <c r="H119" s="167" t="s">
        <v>27</v>
      </c>
      <c r="I119" s="171">
        <f>J119+L119</f>
        <v>14439.1</v>
      </c>
      <c r="J119" s="144">
        <f>14559.1-120</f>
        <v>14439.1</v>
      </c>
      <c r="K119" s="204"/>
      <c r="L119" s="145"/>
      <c r="M119" s="146">
        <f>N119+P119</f>
        <v>21419.4</v>
      </c>
      <c r="N119" s="309">
        <f>21319.4+100</f>
        <v>21419.4</v>
      </c>
      <c r="O119" s="147"/>
      <c r="P119" s="168"/>
      <c r="Q119" s="680">
        <f>R119+T119</f>
        <v>14537.5</v>
      </c>
      <c r="R119" s="681">
        <f>13623.2+900+14.3</f>
        <v>14537.5</v>
      </c>
      <c r="S119" s="583"/>
      <c r="T119" s="562"/>
      <c r="U119" s="449">
        <v>14572.8</v>
      </c>
      <c r="V119" s="449">
        <v>14577.8</v>
      </c>
    </row>
    <row r="120" spans="1:22" ht="26.25" customHeight="1">
      <c r="A120" s="190"/>
      <c r="B120" s="191"/>
      <c r="C120" s="263"/>
      <c r="D120" s="303" t="s">
        <v>112</v>
      </c>
      <c r="E120" s="610"/>
      <c r="F120" s="612"/>
      <c r="G120" s="638"/>
      <c r="H120" s="240"/>
      <c r="I120" s="134"/>
      <c r="J120" s="135"/>
      <c r="K120" s="129"/>
      <c r="L120" s="136"/>
      <c r="M120" s="212"/>
      <c r="N120" s="153"/>
      <c r="O120" s="178"/>
      <c r="P120" s="233"/>
      <c r="Q120" s="487"/>
      <c r="R120" s="488"/>
      <c r="S120" s="487"/>
      <c r="T120" s="488"/>
      <c r="U120" s="260"/>
      <c r="V120" s="260"/>
    </row>
    <row r="121" spans="1:22" ht="27" customHeight="1">
      <c r="A121" s="190"/>
      <c r="B121" s="191"/>
      <c r="C121" s="255"/>
      <c r="D121" s="666" t="s">
        <v>113</v>
      </c>
      <c r="E121" s="622"/>
      <c r="F121" s="618"/>
      <c r="G121" s="659"/>
      <c r="H121" s="268"/>
      <c r="I121" s="79"/>
      <c r="J121" s="39"/>
      <c r="K121" s="71"/>
      <c r="L121" s="53"/>
      <c r="M121" s="262"/>
      <c r="N121" s="44"/>
      <c r="O121" s="37"/>
      <c r="P121" s="52"/>
      <c r="Q121" s="487"/>
      <c r="R121" s="488"/>
      <c r="S121" s="487"/>
      <c r="T121" s="488"/>
      <c r="U121" s="165"/>
      <c r="V121" s="165"/>
    </row>
    <row r="122" spans="1:22" s="70" customFormat="1" ht="14.25" customHeight="1">
      <c r="A122" s="190"/>
      <c r="B122" s="191"/>
      <c r="C122" s="267"/>
      <c r="D122" s="303" t="s">
        <v>114</v>
      </c>
      <c r="E122" s="610"/>
      <c r="F122" s="624"/>
      <c r="G122" s="638"/>
      <c r="H122" s="271"/>
      <c r="I122" s="134"/>
      <c r="J122" s="135"/>
      <c r="K122" s="129"/>
      <c r="L122" s="136"/>
      <c r="M122" s="134"/>
      <c r="N122" s="135"/>
      <c r="O122" s="71"/>
      <c r="P122" s="53"/>
      <c r="Q122" s="487"/>
      <c r="R122" s="488"/>
      <c r="S122" s="487"/>
      <c r="T122" s="488"/>
      <c r="U122" s="66"/>
      <c r="V122" s="66"/>
    </row>
    <row r="123" spans="1:22" s="70" customFormat="1" ht="14.25" customHeight="1">
      <c r="A123" s="190"/>
      <c r="B123" s="191"/>
      <c r="C123" s="267"/>
      <c r="D123" s="303" t="s">
        <v>128</v>
      </c>
      <c r="E123" s="610"/>
      <c r="F123" s="624"/>
      <c r="G123" s="638"/>
      <c r="H123" s="271"/>
      <c r="I123" s="134"/>
      <c r="J123" s="135"/>
      <c r="K123" s="129"/>
      <c r="L123" s="136"/>
      <c r="M123" s="134"/>
      <c r="N123" s="135"/>
      <c r="O123" s="71"/>
      <c r="P123" s="53"/>
      <c r="Q123" s="487"/>
      <c r="R123" s="488"/>
      <c r="S123" s="487"/>
      <c r="T123" s="488"/>
      <c r="U123" s="66"/>
      <c r="V123" s="66"/>
    </row>
    <row r="124" spans="1:22" s="70" customFormat="1" ht="28.5" customHeight="1">
      <c r="A124" s="190"/>
      <c r="B124" s="191"/>
      <c r="C124" s="267"/>
      <c r="D124" s="303" t="s">
        <v>115</v>
      </c>
      <c r="E124" s="899" t="s">
        <v>80</v>
      </c>
      <c r="F124" s="625"/>
      <c r="G124" s="659"/>
      <c r="H124" s="272"/>
      <c r="I124" s="79"/>
      <c r="J124" s="39"/>
      <c r="K124" s="71"/>
      <c r="L124" s="53"/>
      <c r="M124" s="79"/>
      <c r="N124" s="39"/>
      <c r="O124" s="71"/>
      <c r="P124" s="53"/>
      <c r="Q124" s="487"/>
      <c r="R124" s="488"/>
      <c r="S124" s="487"/>
      <c r="T124" s="488"/>
      <c r="U124" s="66"/>
      <c r="V124" s="66"/>
    </row>
    <row r="125" spans="1:22" ht="18" customHeight="1">
      <c r="A125" s="190"/>
      <c r="B125" s="191"/>
      <c r="C125" s="255"/>
      <c r="D125" s="666" t="s">
        <v>180</v>
      </c>
      <c r="E125" s="899"/>
      <c r="F125" s="624"/>
      <c r="G125" s="660"/>
      <c r="H125" s="240"/>
      <c r="I125" s="134"/>
      <c r="J125" s="135"/>
      <c r="K125" s="129"/>
      <c r="L125" s="136"/>
      <c r="M125" s="134"/>
      <c r="N125" s="135"/>
      <c r="O125" s="71"/>
      <c r="P125" s="53"/>
      <c r="Q125" s="487"/>
      <c r="R125" s="488"/>
      <c r="S125" s="487"/>
      <c r="T125" s="488"/>
      <c r="U125" s="165"/>
      <c r="V125" s="165"/>
    </row>
    <row r="126" spans="1:22" ht="16.5" customHeight="1">
      <c r="A126" s="190"/>
      <c r="B126" s="191"/>
      <c r="C126" s="267"/>
      <c r="D126" s="303" t="s">
        <v>116</v>
      </c>
      <c r="E126" s="662"/>
      <c r="F126" s="618"/>
      <c r="G126" s="654"/>
      <c r="H126" s="240"/>
      <c r="I126" s="134"/>
      <c r="J126" s="135"/>
      <c r="K126" s="259"/>
      <c r="L126" s="261"/>
      <c r="M126" s="134"/>
      <c r="N126" s="135"/>
      <c r="O126" s="1"/>
      <c r="P126" s="246"/>
      <c r="Q126" s="487"/>
      <c r="R126" s="488"/>
      <c r="S126" s="601"/>
      <c r="T126" s="602"/>
      <c r="U126" s="165"/>
      <c r="V126" s="165"/>
    </row>
    <row r="127" spans="1:22" ht="27" customHeight="1">
      <c r="A127" s="190"/>
      <c r="B127" s="191"/>
      <c r="C127" s="255"/>
      <c r="D127" s="303" t="s">
        <v>117</v>
      </c>
      <c r="E127" s="622"/>
      <c r="F127" s="618"/>
      <c r="G127" s="659"/>
      <c r="H127" s="272"/>
      <c r="I127" s="79"/>
      <c r="J127" s="39"/>
      <c r="K127" s="71"/>
      <c r="L127" s="53"/>
      <c r="M127" s="79"/>
      <c r="N127" s="39"/>
      <c r="O127" s="71"/>
      <c r="P127" s="53"/>
      <c r="Q127" s="487"/>
      <c r="R127" s="488"/>
      <c r="S127" s="487"/>
      <c r="T127" s="488"/>
      <c r="U127" s="165"/>
      <c r="V127" s="165"/>
    </row>
    <row r="128" spans="1:22" ht="12.75" customHeight="1">
      <c r="A128" s="896"/>
      <c r="B128" s="910"/>
      <c r="C128" s="833"/>
      <c r="D128" s="908" t="s">
        <v>118</v>
      </c>
      <c r="E128" s="663"/>
      <c r="F128" s="620"/>
      <c r="G128" s="661"/>
      <c r="H128" s="271"/>
      <c r="I128" s="134"/>
      <c r="J128" s="135"/>
      <c r="K128" s="129"/>
      <c r="L128" s="136"/>
      <c r="M128" s="79"/>
      <c r="N128" s="39"/>
      <c r="O128" s="71"/>
      <c r="P128" s="53"/>
      <c r="Q128" s="565"/>
      <c r="R128" s="456"/>
      <c r="S128" s="565"/>
      <c r="T128" s="456"/>
      <c r="U128" s="257"/>
      <c r="V128" s="66"/>
    </row>
    <row r="129" spans="1:22" ht="18" customHeight="1" thickBot="1">
      <c r="A129" s="812"/>
      <c r="B129" s="857"/>
      <c r="C129" s="834"/>
      <c r="D129" s="909"/>
      <c r="E129" s="664"/>
      <c r="F129" s="621"/>
      <c r="G129" s="648"/>
      <c r="H129" s="492" t="s">
        <v>28</v>
      </c>
      <c r="I129" s="477">
        <f>J129+L129</f>
        <v>14439.1</v>
      </c>
      <c r="J129" s="478">
        <f>J119</f>
        <v>14439.1</v>
      </c>
      <c r="K129" s="485"/>
      <c r="L129" s="563"/>
      <c r="M129" s="475">
        <f>N129+P129</f>
        <v>21419.4</v>
      </c>
      <c r="N129" s="473">
        <f>N119</f>
        <v>21419.4</v>
      </c>
      <c r="O129" s="473"/>
      <c r="P129" s="539"/>
      <c r="Q129" s="474">
        <f>R129+T129</f>
        <v>14537.5</v>
      </c>
      <c r="R129" s="473">
        <f>SUM(R119:R128)</f>
        <v>14537.5</v>
      </c>
      <c r="S129" s="473"/>
      <c r="T129" s="549"/>
      <c r="U129" s="480">
        <f>U119</f>
        <v>14572.8</v>
      </c>
      <c r="V129" s="480">
        <f>V119</f>
        <v>14577.8</v>
      </c>
    </row>
    <row r="130" spans="1:22" ht="18" customHeight="1">
      <c r="A130" s="911" t="s">
        <v>29</v>
      </c>
      <c r="B130" s="873" t="s">
        <v>31</v>
      </c>
      <c r="C130" s="889" t="s">
        <v>29</v>
      </c>
      <c r="D130" s="883" t="s">
        <v>223</v>
      </c>
      <c r="E130" s="803"/>
      <c r="F130" s="830" t="s">
        <v>26</v>
      </c>
      <c r="G130" s="875">
        <v>2</v>
      </c>
      <c r="H130" s="226" t="s">
        <v>27</v>
      </c>
      <c r="I130" s="8">
        <f>J130+L130</f>
        <v>120</v>
      </c>
      <c r="J130" s="9">
        <v>120</v>
      </c>
      <c r="K130" s="9"/>
      <c r="L130" s="38"/>
      <c r="M130" s="11">
        <v>180</v>
      </c>
      <c r="N130" s="12">
        <v>180</v>
      </c>
      <c r="O130" s="12"/>
      <c r="P130" s="96"/>
      <c r="Q130" s="547">
        <f>R130+T130</f>
        <v>108</v>
      </c>
      <c r="R130" s="453">
        <v>108</v>
      </c>
      <c r="S130" s="453"/>
      <c r="T130" s="512"/>
      <c r="U130" s="323">
        <v>150</v>
      </c>
      <c r="V130" s="227">
        <v>150</v>
      </c>
    </row>
    <row r="131" spans="1:22" ht="18" customHeight="1" thickBot="1">
      <c r="A131" s="912"/>
      <c r="B131" s="874"/>
      <c r="C131" s="890"/>
      <c r="D131" s="884"/>
      <c r="E131" s="885"/>
      <c r="F131" s="891"/>
      <c r="G131" s="886"/>
      <c r="H131" s="567" t="s">
        <v>28</v>
      </c>
      <c r="I131" s="603">
        <f>SUM(I130:I130)</f>
        <v>120</v>
      </c>
      <c r="J131" s="604">
        <f>SUM(J130:J130)</f>
        <v>120</v>
      </c>
      <c r="K131" s="604"/>
      <c r="L131" s="606"/>
      <c r="M131" s="603">
        <f>SUM(M130:M130)</f>
        <v>180</v>
      </c>
      <c r="N131" s="604">
        <f>SUM(N130:N130)</f>
        <v>180</v>
      </c>
      <c r="O131" s="604"/>
      <c r="P131" s="606"/>
      <c r="Q131" s="603">
        <f>R131+T131</f>
        <v>108</v>
      </c>
      <c r="R131" s="604">
        <f>SUM(R130)</f>
        <v>108</v>
      </c>
      <c r="S131" s="604"/>
      <c r="T131" s="539"/>
      <c r="U131" s="474">
        <f>SUM(U130:U130)</f>
        <v>150</v>
      </c>
      <c r="V131" s="480">
        <f>SUM(V130:V130)</f>
        <v>150</v>
      </c>
    </row>
    <row r="132" spans="1:22" ht="33.75" customHeight="1">
      <c r="A132" s="811" t="s">
        <v>29</v>
      </c>
      <c r="B132" s="856" t="s">
        <v>31</v>
      </c>
      <c r="C132" s="813" t="s">
        <v>31</v>
      </c>
      <c r="D132" s="892" t="s">
        <v>136</v>
      </c>
      <c r="E132" s="887" t="s">
        <v>80</v>
      </c>
      <c r="F132" s="801" t="s">
        <v>26</v>
      </c>
      <c r="G132" s="881">
        <v>2</v>
      </c>
      <c r="H132" s="265" t="s">
        <v>27</v>
      </c>
      <c r="I132" s="143"/>
      <c r="J132" s="144"/>
      <c r="K132" s="144"/>
      <c r="L132" s="145"/>
      <c r="M132" s="143">
        <v>50</v>
      </c>
      <c r="N132" s="144"/>
      <c r="O132" s="144"/>
      <c r="P132" s="145">
        <v>50</v>
      </c>
      <c r="Q132" s="581"/>
      <c r="R132" s="514"/>
      <c r="S132" s="514"/>
      <c r="T132" s="582"/>
      <c r="U132" s="244">
        <v>100</v>
      </c>
      <c r="V132" s="244">
        <v>100</v>
      </c>
    </row>
    <row r="133" spans="1:22" ht="17.25" customHeight="1" thickBot="1">
      <c r="A133" s="812"/>
      <c r="B133" s="857"/>
      <c r="C133" s="814"/>
      <c r="D133" s="893"/>
      <c r="E133" s="888"/>
      <c r="F133" s="802"/>
      <c r="G133" s="882"/>
      <c r="H133" s="567" t="s">
        <v>28</v>
      </c>
      <c r="I133" s="472"/>
      <c r="J133" s="473"/>
      <c r="K133" s="473"/>
      <c r="L133" s="539"/>
      <c r="M133" s="475">
        <f>SUM(M132:M132)</f>
        <v>50</v>
      </c>
      <c r="N133" s="476"/>
      <c r="O133" s="473"/>
      <c r="P133" s="539">
        <f>SUM(P132:P132)</f>
        <v>50</v>
      </c>
      <c r="Q133" s="472"/>
      <c r="R133" s="473"/>
      <c r="S133" s="473"/>
      <c r="T133" s="549"/>
      <c r="U133" s="475">
        <f>SUM(U132:U132)</f>
        <v>100</v>
      </c>
      <c r="V133" s="480">
        <f>SUM(V132:V132)</f>
        <v>100</v>
      </c>
    </row>
    <row r="134" spans="1:22" ht="26.25" customHeight="1">
      <c r="A134" s="811" t="s">
        <v>29</v>
      </c>
      <c r="B134" s="856" t="s">
        <v>31</v>
      </c>
      <c r="C134" s="813" t="s">
        <v>33</v>
      </c>
      <c r="D134" s="843" t="s">
        <v>137</v>
      </c>
      <c r="E134" s="970" t="s">
        <v>80</v>
      </c>
      <c r="F134" s="830" t="s">
        <v>26</v>
      </c>
      <c r="G134" s="646">
        <v>6</v>
      </c>
      <c r="H134" s="59" t="s">
        <v>27</v>
      </c>
      <c r="I134" s="162"/>
      <c r="J134" s="61"/>
      <c r="K134" s="87"/>
      <c r="L134" s="62"/>
      <c r="M134" s="105">
        <f>N134+P134</f>
        <v>1353</v>
      </c>
      <c r="N134" s="87">
        <v>1353</v>
      </c>
      <c r="O134" s="61"/>
      <c r="P134" s="166"/>
      <c r="Q134" s="515"/>
      <c r="R134" s="514"/>
      <c r="S134" s="515"/>
      <c r="T134" s="600"/>
      <c r="U134" s="68">
        <v>500</v>
      </c>
      <c r="V134" s="64">
        <v>500</v>
      </c>
    </row>
    <row r="135" spans="1:22" ht="17.25" customHeight="1" thickBot="1">
      <c r="A135" s="812"/>
      <c r="B135" s="857"/>
      <c r="C135" s="814"/>
      <c r="D135" s="844"/>
      <c r="E135" s="940"/>
      <c r="F135" s="802"/>
      <c r="G135" s="643"/>
      <c r="H135" s="567" t="s">
        <v>28</v>
      </c>
      <c r="I135" s="472"/>
      <c r="J135" s="473"/>
      <c r="K135" s="474"/>
      <c r="L135" s="539"/>
      <c r="M135" s="475">
        <f>SUM(M134)</f>
        <v>1353</v>
      </c>
      <c r="N135" s="474">
        <f>SUM(N134)</f>
        <v>1353</v>
      </c>
      <c r="O135" s="473"/>
      <c r="P135" s="493"/>
      <c r="Q135" s="472"/>
      <c r="R135" s="473"/>
      <c r="S135" s="474"/>
      <c r="T135" s="539"/>
      <c r="U135" s="480">
        <f>SUM(U134:U134)</f>
        <v>500</v>
      </c>
      <c r="V135" s="480">
        <f>SUM(V134:V134)</f>
        <v>500</v>
      </c>
    </row>
    <row r="136" spans="1:22" ht="23.25" customHeight="1">
      <c r="A136" s="811" t="s">
        <v>29</v>
      </c>
      <c r="B136" s="856" t="s">
        <v>31</v>
      </c>
      <c r="C136" s="879" t="s">
        <v>34</v>
      </c>
      <c r="D136" s="843" t="s">
        <v>133</v>
      </c>
      <c r="E136" s="803"/>
      <c r="F136" s="830" t="s">
        <v>26</v>
      </c>
      <c r="G136" s="875">
        <v>2</v>
      </c>
      <c r="H136" s="226" t="s">
        <v>27</v>
      </c>
      <c r="I136" s="8"/>
      <c r="J136" s="9"/>
      <c r="K136" s="9"/>
      <c r="L136" s="13"/>
      <c r="M136" s="11">
        <f>N136+P136</f>
        <v>140</v>
      </c>
      <c r="N136" s="12"/>
      <c r="O136" s="12"/>
      <c r="P136" s="10">
        <v>140</v>
      </c>
      <c r="Q136" s="547"/>
      <c r="R136" s="453"/>
      <c r="S136" s="453"/>
      <c r="T136" s="512"/>
      <c r="U136" s="227"/>
      <c r="V136" s="227"/>
    </row>
    <row r="137" spans="1:22" ht="22.5" customHeight="1" thickBot="1">
      <c r="A137" s="812"/>
      <c r="B137" s="857"/>
      <c r="C137" s="880"/>
      <c r="D137" s="844"/>
      <c r="E137" s="804"/>
      <c r="F137" s="802"/>
      <c r="G137" s="876"/>
      <c r="H137" s="567" t="s">
        <v>28</v>
      </c>
      <c r="I137" s="603"/>
      <c r="J137" s="604"/>
      <c r="K137" s="604"/>
      <c r="L137" s="605"/>
      <c r="M137" s="603">
        <f>SUM(M136:M136)</f>
        <v>140</v>
      </c>
      <c r="N137" s="604"/>
      <c r="O137" s="604"/>
      <c r="P137" s="605">
        <f>SUM(P136)</f>
        <v>140</v>
      </c>
      <c r="Q137" s="603"/>
      <c r="R137" s="604"/>
      <c r="S137" s="604"/>
      <c r="T137" s="605"/>
      <c r="U137" s="607"/>
      <c r="V137" s="607"/>
    </row>
    <row r="138" spans="1:22" ht="15" customHeight="1">
      <c r="A138" s="497" t="s">
        <v>29</v>
      </c>
      <c r="B138" s="523" t="s">
        <v>31</v>
      </c>
      <c r="C138" s="870" t="s">
        <v>32</v>
      </c>
      <c r="D138" s="871"/>
      <c r="E138" s="871"/>
      <c r="F138" s="871"/>
      <c r="G138" s="871"/>
      <c r="H138" s="872"/>
      <c r="I138" s="519">
        <f>J138+L138</f>
        <v>14559.1</v>
      </c>
      <c r="J138" s="520">
        <f>J137+J135+J133+J129+J131</f>
        <v>14559.1</v>
      </c>
      <c r="K138" s="520"/>
      <c r="L138" s="521"/>
      <c r="M138" s="519">
        <f>N138+P138</f>
        <v>23142.400000000001</v>
      </c>
      <c r="N138" s="520">
        <f>N137+N135+N133+N129+N131</f>
        <v>22952.400000000001</v>
      </c>
      <c r="O138" s="520"/>
      <c r="P138" s="522">
        <f>P137+P135+P133+P129</f>
        <v>190</v>
      </c>
      <c r="Q138" s="519">
        <f>R138+T138</f>
        <v>14645.5</v>
      </c>
      <c r="R138" s="520">
        <f>R137+R135+R133+R131+R129</f>
        <v>14645.5</v>
      </c>
      <c r="S138" s="520"/>
      <c r="T138" s="522"/>
      <c r="U138" s="522">
        <f>U137+U135+U133+U129+U131</f>
        <v>15322.8</v>
      </c>
      <c r="V138" s="522">
        <f>V137+V135+V133+V131+V129</f>
        <v>15327.8</v>
      </c>
    </row>
    <row r="139" spans="1:22" ht="15.75" customHeight="1">
      <c r="A139" s="526" t="s">
        <v>29</v>
      </c>
      <c r="B139" s="877" t="s">
        <v>14</v>
      </c>
      <c r="C139" s="877"/>
      <c r="D139" s="877"/>
      <c r="E139" s="877"/>
      <c r="F139" s="877"/>
      <c r="G139" s="877"/>
      <c r="H139" s="878"/>
      <c r="I139" s="527">
        <f>J139+L139</f>
        <v>36989.68</v>
      </c>
      <c r="J139" s="528">
        <f>J138+J117+J104</f>
        <v>19082</v>
      </c>
      <c r="K139" s="528"/>
      <c r="L139" s="529">
        <f>L138+L117+L104</f>
        <v>17907.68</v>
      </c>
      <c r="M139" s="527">
        <f>N139+P139</f>
        <v>44553.441000000006</v>
      </c>
      <c r="N139" s="528">
        <f>N138+N117+N104</f>
        <v>27026.9</v>
      </c>
      <c r="O139" s="528"/>
      <c r="P139" s="530">
        <f>P138+P117+P104</f>
        <v>17526.541000000001</v>
      </c>
      <c r="Q139" s="527">
        <f>Q138+Q117+Q104</f>
        <v>34880.5</v>
      </c>
      <c r="R139" s="528">
        <f>R138+R117+R104</f>
        <v>17662.3</v>
      </c>
      <c r="S139" s="528"/>
      <c r="T139" s="530">
        <f>T138+T117+T104</f>
        <v>17218.2</v>
      </c>
      <c r="U139" s="530">
        <f>U138+U117+U104</f>
        <v>28019.199999999997</v>
      </c>
      <c r="V139" s="530">
        <f>V138+V117+V104</f>
        <v>22850.699999999997</v>
      </c>
    </row>
    <row r="140" spans="1:22" ht="14.25" customHeight="1" thickBot="1">
      <c r="A140" s="524" t="s">
        <v>12</v>
      </c>
      <c r="B140" s="1036" t="s">
        <v>15</v>
      </c>
      <c r="C140" s="1036"/>
      <c r="D140" s="1036"/>
      <c r="E140" s="1036"/>
      <c r="F140" s="1036"/>
      <c r="G140" s="1036"/>
      <c r="H140" s="1037"/>
      <c r="I140" s="291">
        <f>J140+L140</f>
        <v>232520.88</v>
      </c>
      <c r="J140" s="292">
        <f>J139+J54</f>
        <v>214410.30000000002</v>
      </c>
      <c r="K140" s="292">
        <f>K139+K54</f>
        <v>129940.89999999998</v>
      </c>
      <c r="L140" s="293">
        <f>L139+L54</f>
        <v>18110.580000000002</v>
      </c>
      <c r="M140" s="294">
        <f>N140+P140</f>
        <v>237335.34099999999</v>
      </c>
      <c r="N140" s="292">
        <f>N139+N54</f>
        <v>219570.8</v>
      </c>
      <c r="O140" s="292">
        <f>O139+O54</f>
        <v>127800.9</v>
      </c>
      <c r="P140" s="295">
        <f>P139+P54</f>
        <v>17764.541000000001</v>
      </c>
      <c r="Q140" s="294">
        <f>R140+T140</f>
        <v>221447.8</v>
      </c>
      <c r="R140" s="292">
        <f>R139+R54</f>
        <v>203866.19999999998</v>
      </c>
      <c r="S140" s="292">
        <f>S139+S54</f>
        <v>124112</v>
      </c>
      <c r="T140" s="295">
        <f>T139+T54</f>
        <v>17581.600000000002</v>
      </c>
      <c r="U140" s="293">
        <f>U139+U54</f>
        <v>220784.2</v>
      </c>
      <c r="V140" s="525">
        <f>V139+V54</f>
        <v>215614.3</v>
      </c>
    </row>
    <row r="141" spans="1:22" s="75" customFormat="1" ht="15" customHeight="1">
      <c r="A141" s="452"/>
      <c r="B141" s="452"/>
      <c r="C141" s="452"/>
      <c r="D141" s="452"/>
      <c r="E141" s="452"/>
      <c r="F141" s="452"/>
      <c r="G141" s="452"/>
      <c r="H141" s="452"/>
      <c r="I141" s="452"/>
      <c r="J141" s="452"/>
      <c r="K141" s="452"/>
      <c r="L141" s="452"/>
      <c r="M141" s="452"/>
      <c r="N141" s="452"/>
      <c r="O141" s="452"/>
      <c r="P141" s="452"/>
      <c r="Q141" s="714"/>
      <c r="R141" s="714"/>
      <c r="S141" s="714"/>
      <c r="T141" s="714"/>
      <c r="U141" s="715"/>
      <c r="V141" s="452"/>
    </row>
    <row r="142" spans="1:22" s="75" customFormat="1" ht="14.25" customHeight="1" thickBot="1">
      <c r="A142" s="845" t="s">
        <v>4</v>
      </c>
      <c r="B142" s="845"/>
      <c r="C142" s="845"/>
      <c r="D142" s="845"/>
      <c r="E142" s="845"/>
      <c r="F142" s="845"/>
      <c r="G142" s="845"/>
      <c r="H142" s="845"/>
      <c r="I142" s="845"/>
      <c r="J142" s="845"/>
      <c r="K142" s="845"/>
      <c r="L142" s="845"/>
      <c r="M142" s="845"/>
      <c r="N142" s="845"/>
      <c r="O142" s="845"/>
      <c r="P142" s="845"/>
      <c r="Q142" s="845"/>
      <c r="R142" s="845"/>
      <c r="S142" s="845"/>
      <c r="T142" s="845"/>
      <c r="U142" s="1"/>
      <c r="V142" s="2"/>
    </row>
    <row r="143" spans="1:22" s="76" customFormat="1" ht="27" customHeight="1" thickBot="1">
      <c r="A143" s="821" t="s">
        <v>5</v>
      </c>
      <c r="B143" s="822"/>
      <c r="C143" s="822"/>
      <c r="D143" s="822"/>
      <c r="E143" s="822"/>
      <c r="F143" s="822"/>
      <c r="G143" s="822"/>
      <c r="H143" s="823"/>
      <c r="I143" s="821" t="s">
        <v>93</v>
      </c>
      <c r="J143" s="822"/>
      <c r="K143" s="822"/>
      <c r="L143" s="823"/>
      <c r="M143" s="821" t="s">
        <v>111</v>
      </c>
      <c r="N143" s="822"/>
      <c r="O143" s="822"/>
      <c r="P143" s="823"/>
      <c r="Q143" s="821" t="s">
        <v>94</v>
      </c>
      <c r="R143" s="822"/>
      <c r="S143" s="822"/>
      <c r="T143" s="823"/>
      <c r="U143" s="208"/>
    </row>
    <row r="144" spans="1:22" s="76" customFormat="1" ht="12" customHeight="1">
      <c r="A144" s="867" t="s">
        <v>39</v>
      </c>
      <c r="B144" s="868"/>
      <c r="C144" s="868"/>
      <c r="D144" s="868"/>
      <c r="E144" s="868"/>
      <c r="F144" s="868"/>
      <c r="G144" s="868"/>
      <c r="H144" s="869"/>
      <c r="I144" s="824">
        <f>SUM(I145:L150)</f>
        <v>214525.50000000003</v>
      </c>
      <c r="J144" s="824"/>
      <c r="K144" s="824"/>
      <c r="L144" s="825"/>
      <c r="M144" s="824">
        <f>SUM(M145:P150)</f>
        <v>221426.7</v>
      </c>
      <c r="N144" s="824"/>
      <c r="O144" s="824"/>
      <c r="P144" s="825"/>
      <c r="Q144" s="824">
        <f ca="1">SUM(Q145:T150)</f>
        <v>206299.6</v>
      </c>
      <c r="R144" s="824"/>
      <c r="S144" s="824"/>
      <c r="T144" s="825"/>
      <c r="U144" s="209"/>
      <c r="V144" s="78"/>
    </row>
    <row r="145" spans="1:22" s="76" customFormat="1" ht="12" customHeight="1">
      <c r="A145" s="864" t="s">
        <v>65</v>
      </c>
      <c r="B145" s="865"/>
      <c r="C145" s="865"/>
      <c r="D145" s="865"/>
      <c r="E145" s="865"/>
      <c r="F145" s="865"/>
      <c r="G145" s="865"/>
      <c r="H145" s="866"/>
      <c r="I145" s="818">
        <f>SUMIF(H11:H137,"SB",I11:I137)</f>
        <v>84476.5</v>
      </c>
      <c r="J145" s="818"/>
      <c r="K145" s="818"/>
      <c r="L145" s="819"/>
      <c r="M145" s="820">
        <f>SUMIF(H11:H137,"SB",M11:M137)</f>
        <v>93669.400000000023</v>
      </c>
      <c r="N145" s="818"/>
      <c r="O145" s="818"/>
      <c r="P145" s="819"/>
      <c r="Q145" s="861">
        <f>SUMIF(H13:H136,"sb",Q13:Q136)</f>
        <v>80775.700000000012</v>
      </c>
      <c r="R145" s="862"/>
      <c r="S145" s="862"/>
      <c r="T145" s="863"/>
      <c r="U145" s="104"/>
      <c r="V145" s="210"/>
    </row>
    <row r="146" spans="1:22" s="76" customFormat="1" ht="14.25" customHeight="1">
      <c r="A146" s="805" t="s">
        <v>91</v>
      </c>
      <c r="B146" s="806"/>
      <c r="C146" s="806"/>
      <c r="D146" s="806"/>
      <c r="E146" s="806"/>
      <c r="F146" s="806"/>
      <c r="G146" s="806"/>
      <c r="H146" s="807"/>
      <c r="I146" s="799">
        <f>SUMIF(H13:H137,"SB(SP)",I13:I137)</f>
        <v>16259.9</v>
      </c>
      <c r="J146" s="799"/>
      <c r="K146" s="799"/>
      <c r="L146" s="800"/>
      <c r="M146" s="798">
        <f>SUMIF(H13:H137,"SB(SP)",M13:M137)</f>
        <v>16066.600000000002</v>
      </c>
      <c r="N146" s="799"/>
      <c r="O146" s="799"/>
      <c r="P146" s="800"/>
      <c r="Q146" s="847">
        <f>SUMIF(H11:H136,"sb(sp)",Q11:Q136)</f>
        <v>16558.699999999997</v>
      </c>
      <c r="R146" s="848"/>
      <c r="S146" s="848"/>
      <c r="T146" s="849"/>
      <c r="U146" s="104"/>
      <c r="V146" s="210"/>
    </row>
    <row r="147" spans="1:22" s="76" customFormat="1" ht="14.25" customHeight="1">
      <c r="A147" s="805" t="s">
        <v>66</v>
      </c>
      <c r="B147" s="806"/>
      <c r="C147" s="806"/>
      <c r="D147" s="806"/>
      <c r="E147" s="806"/>
      <c r="F147" s="806"/>
      <c r="G147" s="806"/>
      <c r="H147" s="807"/>
      <c r="I147" s="799">
        <f>SUMIF(H11:H137,"sb(vb)",I11:I137)</f>
        <v>110485.00000000001</v>
      </c>
      <c r="J147" s="799"/>
      <c r="K147" s="799"/>
      <c r="L147" s="800"/>
      <c r="M147" s="798">
        <f>SUMIF(H11:H137,"SB(VB)",M11:M137)</f>
        <v>108465</v>
      </c>
      <c r="N147" s="799"/>
      <c r="O147" s="799"/>
      <c r="P147" s="800"/>
      <c r="Q147" s="847">
        <f>SUMIF(H13:H136,"sb(vb)",Q13:Q136)</f>
        <v>106258.80000000002</v>
      </c>
      <c r="R147" s="848"/>
      <c r="S147" s="848"/>
      <c r="T147" s="849"/>
      <c r="U147" s="104"/>
      <c r="V147" s="210"/>
    </row>
    <row r="148" spans="1:22" s="76" customFormat="1" ht="28.5" customHeight="1">
      <c r="A148" s="805" t="s">
        <v>1</v>
      </c>
      <c r="B148" s="806"/>
      <c r="C148" s="806"/>
      <c r="D148" s="806"/>
      <c r="E148" s="806"/>
      <c r="F148" s="806"/>
      <c r="G148" s="806"/>
      <c r="H148" s="807"/>
      <c r="I148" s="799">
        <f>SUMIF(H11:H137,"sb(mk)",I11:I137)</f>
        <v>100</v>
      </c>
      <c r="J148" s="799"/>
      <c r="K148" s="799"/>
      <c r="L148" s="800"/>
      <c r="M148" s="798">
        <f>SUMIF(H11:H137,"SB(MK)",M11:M137)</f>
        <v>200</v>
      </c>
      <c r="N148" s="799"/>
      <c r="O148" s="799"/>
      <c r="P148" s="800"/>
      <c r="Q148" s="847">
        <f>SUMIF(H13:H136,"sb(mk)",Q13:Q136)</f>
        <v>200</v>
      </c>
      <c r="R148" s="848"/>
      <c r="S148" s="848"/>
      <c r="T148" s="849"/>
      <c r="U148" s="104"/>
      <c r="V148" s="210"/>
    </row>
    <row r="149" spans="1:22" s="76" customFormat="1" ht="12.75" customHeight="1">
      <c r="A149" s="805" t="s">
        <v>155</v>
      </c>
      <c r="B149" s="806"/>
      <c r="C149" s="806"/>
      <c r="D149" s="806"/>
      <c r="E149" s="806"/>
      <c r="F149" s="806"/>
      <c r="G149" s="806"/>
      <c r="H149" s="807"/>
      <c r="I149" s="799">
        <f>SUMIF(H11:H137,"sb(P)",I11:I137)</f>
        <v>2769.7000000000003</v>
      </c>
      <c r="J149" s="799"/>
      <c r="K149" s="799"/>
      <c r="L149" s="800"/>
      <c r="M149" s="798">
        <f>SUMIF(H11:H137,"sb(P)",M11:M137)</f>
        <v>2581.2999999999997</v>
      </c>
      <c r="N149" s="799"/>
      <c r="O149" s="799"/>
      <c r="P149" s="800"/>
      <c r="Q149" s="798">
        <f>SUMIF(H13:H136,"sb(p)",Q13:Q136)</f>
        <v>2062</v>
      </c>
      <c r="R149" s="799"/>
      <c r="S149" s="799"/>
      <c r="T149" s="800"/>
      <c r="U149" s="104"/>
      <c r="V149" s="78"/>
    </row>
    <row r="150" spans="1:22" s="76" customFormat="1" ht="12.75" customHeight="1">
      <c r="A150" s="808" t="s">
        <v>2</v>
      </c>
      <c r="B150" s="809"/>
      <c r="C150" s="809"/>
      <c r="D150" s="809"/>
      <c r="E150" s="809"/>
      <c r="F150" s="809"/>
      <c r="G150" s="809"/>
      <c r="H150" s="810"/>
      <c r="I150" s="847">
        <f>SUMIF(H13:H137,"pf",I13:I137)</f>
        <v>434.4</v>
      </c>
      <c r="J150" s="848"/>
      <c r="K150" s="848"/>
      <c r="L150" s="849"/>
      <c r="M150" s="847">
        <f>SUMIF(H13:H137,H75,M13:M137)</f>
        <v>444.4</v>
      </c>
      <c r="N150" s="848"/>
      <c r="O150" s="848"/>
      <c r="P150" s="849"/>
      <c r="Q150" s="847">
        <f ca="1">SUMIF(H11:H140,"pf",Q11:Q136)</f>
        <v>444.4</v>
      </c>
      <c r="R150" s="848"/>
      <c r="S150" s="848"/>
      <c r="T150" s="849"/>
      <c r="U150" s="209"/>
      <c r="V150" s="78"/>
    </row>
    <row r="151" spans="1:22" s="76" customFormat="1" ht="12.75" customHeight="1">
      <c r="A151" s="858" t="s">
        <v>40</v>
      </c>
      <c r="B151" s="859"/>
      <c r="C151" s="859"/>
      <c r="D151" s="859"/>
      <c r="E151" s="859"/>
      <c r="F151" s="859"/>
      <c r="G151" s="859"/>
      <c r="H151" s="860"/>
      <c r="I151" s="854">
        <f>SUM(I152:L155)</f>
        <v>17995.38</v>
      </c>
      <c r="J151" s="854"/>
      <c r="K151" s="854"/>
      <c r="L151" s="855"/>
      <c r="M151" s="853">
        <f>SUM(M152:P155)</f>
        <v>15908.641000000001</v>
      </c>
      <c r="N151" s="854"/>
      <c r="O151" s="854"/>
      <c r="P151" s="855"/>
      <c r="Q151" s="853">
        <f>SUM(Q152:T155)</f>
        <v>15148.2</v>
      </c>
      <c r="R151" s="854"/>
      <c r="S151" s="854"/>
      <c r="T151" s="855"/>
      <c r="U151" s="209"/>
      <c r="V151" s="78"/>
    </row>
    <row r="152" spans="1:22" s="76" customFormat="1" ht="12.75" customHeight="1">
      <c r="A152" s="815" t="s">
        <v>67</v>
      </c>
      <c r="B152" s="816"/>
      <c r="C152" s="816"/>
      <c r="D152" s="816"/>
      <c r="E152" s="816"/>
      <c r="F152" s="816"/>
      <c r="G152" s="816"/>
      <c r="H152" s="817"/>
      <c r="I152" s="818">
        <f>SUMIF(H11:H137,"ES",I11:I137)</f>
        <v>15951.279999999999</v>
      </c>
      <c r="J152" s="818"/>
      <c r="K152" s="818"/>
      <c r="L152" s="819"/>
      <c r="M152" s="820">
        <f>SUMIF(H11:H137, "ES",M11:M137)</f>
        <v>15105.741000000002</v>
      </c>
      <c r="N152" s="818"/>
      <c r="O152" s="818"/>
      <c r="P152" s="819"/>
      <c r="Q152" s="820">
        <f>SUMIF(H11:H136,"es",Q11:Q137)</f>
        <v>14345.300000000001</v>
      </c>
      <c r="R152" s="818"/>
      <c r="S152" s="818"/>
      <c r="T152" s="819"/>
      <c r="U152" s="104"/>
      <c r="V152" s="78"/>
    </row>
    <row r="153" spans="1:22" s="76" customFormat="1" ht="12.75" customHeight="1">
      <c r="A153" s="840" t="s">
        <v>3</v>
      </c>
      <c r="B153" s="841"/>
      <c r="C153" s="841"/>
      <c r="D153" s="841"/>
      <c r="E153" s="841"/>
      <c r="F153" s="841"/>
      <c r="G153" s="841"/>
      <c r="H153" s="842"/>
      <c r="I153" s="799">
        <f>SUMIF(H11:H137,"LRVB",I11:I137)</f>
        <v>636.20000000000005</v>
      </c>
      <c r="J153" s="799"/>
      <c r="K153" s="799"/>
      <c r="L153" s="800"/>
      <c r="M153" s="798">
        <f>SUMIF(H11:H137,"LRVB",M11:M137)</f>
        <v>727.9</v>
      </c>
      <c r="N153" s="799"/>
      <c r="O153" s="799"/>
      <c r="P153" s="800"/>
      <c r="Q153" s="847">
        <f>SUMIF(H11:H137,"lrvb",Q11:Q137)</f>
        <v>727.9</v>
      </c>
      <c r="R153" s="848"/>
      <c r="S153" s="848"/>
      <c r="T153" s="849"/>
      <c r="U153" s="104"/>
      <c r="V153" s="78"/>
    </row>
    <row r="154" spans="1:22" s="76" customFormat="1" ht="12.75" customHeight="1">
      <c r="A154" s="850" t="s">
        <v>201</v>
      </c>
      <c r="B154" s="851"/>
      <c r="C154" s="851"/>
      <c r="D154" s="851"/>
      <c r="E154" s="851"/>
      <c r="F154" s="851"/>
      <c r="G154" s="851"/>
      <c r="H154" s="852"/>
      <c r="I154" s="798"/>
      <c r="J154" s="799"/>
      <c r="K154" s="799"/>
      <c r="L154" s="800"/>
      <c r="M154" s="798">
        <f>SUMIF(H13:H136,"KVJUD",M13:M136)</f>
        <v>75</v>
      </c>
      <c r="N154" s="799"/>
      <c r="O154" s="799"/>
      <c r="P154" s="800"/>
      <c r="Q154" s="847">
        <f>SUMIF(H13:H136,"KVJUD",Q13:Q136)</f>
        <v>75</v>
      </c>
      <c r="R154" s="848"/>
      <c r="S154" s="848"/>
      <c r="T154" s="849"/>
      <c r="U154" s="104"/>
      <c r="V154" s="78"/>
    </row>
    <row r="155" spans="1:22" s="76" customFormat="1" ht="15" customHeight="1">
      <c r="A155" s="805" t="s">
        <v>68</v>
      </c>
      <c r="B155" s="806"/>
      <c r="C155" s="806"/>
      <c r="D155" s="806"/>
      <c r="E155" s="806"/>
      <c r="F155" s="806"/>
      <c r="G155" s="806"/>
      <c r="H155" s="807"/>
      <c r="I155" s="799">
        <f>SUMIF(H11:H137,"Kt",I11:I137)</f>
        <v>1407.9</v>
      </c>
      <c r="J155" s="799"/>
      <c r="K155" s="799"/>
      <c r="L155" s="800"/>
      <c r="M155" s="798">
        <f>SUMIF(H11:H137,"KT",M11:M137)</f>
        <v>0</v>
      </c>
      <c r="N155" s="799"/>
      <c r="O155" s="799"/>
      <c r="P155" s="800"/>
      <c r="Q155" s="798">
        <f>SUMIF(H13:H137,"kt",Q13:Q137)</f>
        <v>0</v>
      </c>
      <c r="R155" s="799"/>
      <c r="S155" s="799"/>
      <c r="T155" s="800"/>
      <c r="U155" s="104"/>
      <c r="V155" s="78"/>
    </row>
    <row r="156" spans="1:22" ht="12.75" customHeight="1" thickBot="1">
      <c r="A156" s="835" t="s">
        <v>41</v>
      </c>
      <c r="B156" s="836"/>
      <c r="C156" s="836"/>
      <c r="D156" s="836"/>
      <c r="E156" s="836"/>
      <c r="F156" s="836"/>
      <c r="G156" s="836"/>
      <c r="H156" s="837"/>
      <c r="I156" s="838">
        <f>I151+I144</f>
        <v>232520.88000000003</v>
      </c>
      <c r="J156" s="838"/>
      <c r="K156" s="838"/>
      <c r="L156" s="839"/>
      <c r="M156" s="846">
        <f>M151+M144</f>
        <v>237335.34100000001</v>
      </c>
      <c r="N156" s="838"/>
      <c r="O156" s="838"/>
      <c r="P156" s="839"/>
      <c r="Q156" s="846">
        <f ca="1">Q151+Q144</f>
        <v>221447.80000000002</v>
      </c>
      <c r="R156" s="838"/>
      <c r="S156" s="838"/>
      <c r="T156" s="839"/>
      <c r="U156" s="209"/>
      <c r="V156" s="78"/>
    </row>
    <row r="157" spans="1:22">
      <c r="D157" s="32"/>
      <c r="E157" s="32"/>
      <c r="F157" s="32"/>
      <c r="G157" s="199"/>
      <c r="H157" s="81"/>
      <c r="I157" s="32"/>
      <c r="J157" s="32"/>
      <c r="K157" s="32"/>
      <c r="L157" s="32"/>
      <c r="M157" s="200"/>
      <c r="N157" s="200"/>
      <c r="O157" s="200"/>
      <c r="P157" s="200"/>
      <c r="Q157" s="32"/>
      <c r="R157" s="32"/>
      <c r="S157" s="32"/>
      <c r="T157" s="32"/>
    </row>
    <row r="158" spans="1:22">
      <c r="D158" s="32"/>
      <c r="E158" s="32"/>
      <c r="F158" s="32"/>
      <c r="G158" s="199"/>
      <c r="H158" s="81"/>
      <c r="I158" s="32"/>
      <c r="J158" s="32"/>
      <c r="K158" s="32"/>
      <c r="L158" s="32"/>
      <c r="M158" s="200"/>
      <c r="N158" s="200"/>
      <c r="O158" s="200"/>
      <c r="P158" s="200"/>
      <c r="Q158" s="32"/>
      <c r="R158" s="32"/>
      <c r="S158" s="32"/>
      <c r="T158" s="32"/>
    </row>
    <row r="159" spans="1:22">
      <c r="D159" s="32"/>
      <c r="E159" s="32"/>
      <c r="F159" s="32"/>
      <c r="G159" s="199"/>
      <c r="H159" s="81"/>
      <c r="I159" s="32"/>
      <c r="J159" s="32"/>
      <c r="K159" s="32"/>
      <c r="L159" s="32"/>
      <c r="M159" s="200"/>
      <c r="N159" s="200"/>
      <c r="O159" s="200"/>
      <c r="P159" s="200"/>
      <c r="Q159" s="32"/>
      <c r="R159" s="32"/>
      <c r="S159" s="32"/>
      <c r="T159" s="32"/>
    </row>
    <row r="160" spans="1:22">
      <c r="D160" s="32"/>
      <c r="E160" s="32"/>
      <c r="F160" s="32"/>
      <c r="G160" s="199"/>
      <c r="H160" s="81"/>
      <c r="I160" s="32"/>
      <c r="J160" s="32"/>
      <c r="K160" s="32"/>
      <c r="L160" s="32"/>
      <c r="M160" s="200"/>
      <c r="N160" s="200"/>
      <c r="O160" s="200"/>
      <c r="P160" s="200"/>
      <c r="Q160" s="32"/>
      <c r="R160" s="32"/>
      <c r="S160" s="32"/>
      <c r="T160" s="32"/>
    </row>
    <row r="161" spans="1:22">
      <c r="D161" s="32"/>
      <c r="E161" s="32"/>
      <c r="F161" s="32"/>
      <c r="G161" s="199"/>
      <c r="H161" s="81"/>
      <c r="I161" s="32"/>
      <c r="J161" s="32"/>
      <c r="K161" s="32"/>
      <c r="L161" s="32"/>
      <c r="M161" s="200"/>
      <c r="N161" s="200"/>
      <c r="O161" s="200"/>
      <c r="P161" s="200"/>
      <c r="Q161" s="32"/>
      <c r="R161" s="32"/>
      <c r="S161" s="32"/>
      <c r="T161" s="32"/>
    </row>
    <row r="162" spans="1:22">
      <c r="A162" s="32"/>
      <c r="B162" s="32"/>
      <c r="C162" s="32"/>
      <c r="D162" s="32"/>
      <c r="E162" s="32"/>
      <c r="F162" s="32"/>
      <c r="G162" s="199"/>
      <c r="H162" s="81"/>
      <c r="I162" s="32"/>
      <c r="J162" s="32"/>
      <c r="K162" s="32"/>
      <c r="L162" s="32"/>
      <c r="M162" s="200"/>
      <c r="N162" s="200"/>
      <c r="O162" s="200"/>
      <c r="P162" s="200"/>
      <c r="Q162" s="32"/>
      <c r="R162" s="32"/>
      <c r="S162" s="32"/>
      <c r="T162" s="32"/>
      <c r="U162" s="32"/>
      <c r="V162" s="32"/>
    </row>
    <row r="163" spans="1:22">
      <c r="A163" s="32"/>
      <c r="B163" s="32"/>
      <c r="C163" s="32"/>
      <c r="D163" s="32"/>
      <c r="E163" s="32"/>
      <c r="F163" s="32"/>
      <c r="G163" s="199"/>
      <c r="H163" s="81"/>
      <c r="I163" s="32"/>
      <c r="J163" s="32"/>
      <c r="K163" s="32"/>
      <c r="L163" s="32"/>
      <c r="M163" s="200"/>
      <c r="N163" s="200"/>
      <c r="O163" s="200"/>
      <c r="P163" s="200"/>
      <c r="Q163" s="32"/>
      <c r="R163" s="32"/>
      <c r="S163" s="32"/>
      <c r="T163" s="32"/>
      <c r="U163" s="32"/>
      <c r="V163" s="32"/>
    </row>
    <row r="164" spans="1:22">
      <c r="A164" s="32"/>
      <c r="B164" s="32"/>
      <c r="C164" s="32"/>
      <c r="D164" s="32"/>
      <c r="E164" s="32"/>
      <c r="F164" s="32"/>
      <c r="G164" s="199"/>
      <c r="H164" s="81"/>
      <c r="I164" s="32"/>
      <c r="J164" s="32"/>
      <c r="K164" s="32"/>
      <c r="L164" s="32"/>
      <c r="M164" s="200"/>
      <c r="N164" s="200"/>
      <c r="O164" s="200"/>
      <c r="P164" s="200"/>
      <c r="Q164" s="32"/>
      <c r="R164" s="32"/>
      <c r="S164" s="32"/>
      <c r="T164" s="32"/>
      <c r="U164" s="32"/>
      <c r="V164" s="32"/>
    </row>
    <row r="165" spans="1:22">
      <c r="A165" s="32"/>
      <c r="B165" s="32"/>
      <c r="C165" s="32"/>
      <c r="D165" s="32"/>
      <c r="E165" s="32"/>
      <c r="F165" s="32"/>
      <c r="G165" s="199"/>
      <c r="H165" s="81"/>
      <c r="I165" s="32"/>
      <c r="J165" s="32"/>
      <c r="K165" s="32"/>
      <c r="L165" s="32"/>
      <c r="M165" s="200"/>
      <c r="N165" s="200"/>
      <c r="O165" s="200"/>
      <c r="P165" s="200"/>
      <c r="Q165" s="32"/>
      <c r="R165" s="32"/>
      <c r="S165" s="32"/>
      <c r="T165" s="32"/>
      <c r="U165" s="32"/>
      <c r="V165" s="32"/>
    </row>
    <row r="166" spans="1:22">
      <c r="A166" s="32"/>
      <c r="B166" s="32"/>
      <c r="C166" s="32"/>
      <c r="D166" s="32"/>
      <c r="E166" s="32"/>
      <c r="F166" s="32"/>
      <c r="G166" s="199"/>
      <c r="H166" s="81"/>
      <c r="I166" s="32"/>
      <c r="J166" s="32"/>
      <c r="K166" s="32"/>
      <c r="L166" s="32"/>
      <c r="M166" s="200"/>
      <c r="N166" s="200"/>
      <c r="O166" s="200"/>
      <c r="P166" s="200"/>
      <c r="Q166" s="32"/>
      <c r="R166" s="32"/>
      <c r="S166" s="32"/>
      <c r="T166" s="32"/>
      <c r="U166" s="32"/>
      <c r="V166" s="32"/>
    </row>
    <row r="167" spans="1:22">
      <c r="A167" s="32"/>
      <c r="B167" s="32"/>
      <c r="C167" s="32"/>
      <c r="D167" s="32"/>
      <c r="E167" s="32"/>
      <c r="F167" s="32"/>
      <c r="G167" s="199"/>
      <c r="H167" s="81"/>
      <c r="I167" s="32"/>
      <c r="J167" s="32"/>
      <c r="K167" s="32"/>
      <c r="L167" s="32"/>
      <c r="M167" s="200"/>
      <c r="N167" s="200"/>
      <c r="O167" s="200"/>
      <c r="P167" s="200"/>
      <c r="Q167" s="32"/>
      <c r="R167" s="32"/>
      <c r="S167" s="32"/>
      <c r="T167" s="32"/>
      <c r="U167" s="32"/>
      <c r="V167" s="32"/>
    </row>
    <row r="168" spans="1:22">
      <c r="A168" s="32"/>
      <c r="B168" s="32"/>
      <c r="C168" s="32"/>
      <c r="D168" s="32"/>
      <c r="E168" s="32"/>
      <c r="F168" s="32"/>
      <c r="G168" s="199"/>
      <c r="H168" s="81"/>
      <c r="I168" s="32"/>
      <c r="J168" s="32"/>
      <c r="K168" s="32"/>
      <c r="L168" s="32"/>
      <c r="M168" s="200"/>
      <c r="N168" s="200"/>
      <c r="O168" s="200"/>
      <c r="P168" s="200"/>
      <c r="Q168" s="32"/>
      <c r="R168" s="32"/>
      <c r="S168" s="32"/>
      <c r="T168" s="32"/>
      <c r="U168" s="32"/>
      <c r="V168" s="32"/>
    </row>
    <row r="169" spans="1:22">
      <c r="A169" s="32"/>
      <c r="B169" s="32"/>
      <c r="C169" s="32"/>
      <c r="D169" s="32"/>
      <c r="E169" s="32"/>
      <c r="F169" s="32"/>
      <c r="G169" s="199"/>
      <c r="H169" s="81"/>
      <c r="I169" s="32"/>
      <c r="J169" s="32"/>
      <c r="K169" s="32"/>
      <c r="L169" s="32"/>
      <c r="M169" s="200"/>
      <c r="N169" s="200"/>
      <c r="O169" s="200"/>
      <c r="P169" s="200"/>
      <c r="Q169" s="32"/>
      <c r="R169" s="32"/>
      <c r="S169" s="32"/>
      <c r="T169" s="32"/>
      <c r="U169" s="32"/>
      <c r="V169" s="32"/>
    </row>
    <row r="170" spans="1:22">
      <c r="A170" s="32"/>
      <c r="B170" s="32"/>
      <c r="C170" s="32"/>
      <c r="D170" s="32"/>
      <c r="E170" s="32"/>
      <c r="F170" s="32"/>
      <c r="G170" s="199"/>
      <c r="H170" s="81"/>
      <c r="I170" s="32"/>
      <c r="J170" s="32"/>
      <c r="K170" s="32"/>
      <c r="L170" s="32"/>
      <c r="M170" s="200"/>
      <c r="N170" s="200"/>
      <c r="O170" s="200"/>
      <c r="P170" s="200"/>
      <c r="Q170" s="32"/>
      <c r="R170" s="32"/>
      <c r="S170" s="32"/>
      <c r="T170" s="32"/>
      <c r="U170" s="32"/>
      <c r="V170" s="32"/>
    </row>
    <row r="171" spans="1:22">
      <c r="A171" s="32"/>
      <c r="B171" s="32"/>
      <c r="C171" s="32"/>
      <c r="D171" s="32"/>
      <c r="E171" s="32"/>
      <c r="F171" s="32"/>
      <c r="G171" s="199"/>
      <c r="H171" s="81"/>
      <c r="I171" s="32"/>
      <c r="J171" s="32"/>
      <c r="K171" s="32"/>
      <c r="L171" s="32"/>
      <c r="M171" s="200"/>
      <c r="N171" s="200"/>
      <c r="O171" s="200"/>
      <c r="P171" s="200"/>
      <c r="Q171" s="32"/>
      <c r="R171" s="32"/>
      <c r="S171" s="32"/>
      <c r="T171" s="32"/>
      <c r="U171" s="32"/>
      <c r="V171" s="32"/>
    </row>
    <row r="172" spans="1:22">
      <c r="A172" s="32"/>
      <c r="B172" s="32"/>
      <c r="C172" s="32"/>
      <c r="D172" s="32"/>
      <c r="E172" s="32"/>
      <c r="F172" s="32"/>
      <c r="G172" s="199"/>
      <c r="H172" s="81"/>
      <c r="I172" s="32"/>
      <c r="J172" s="32"/>
      <c r="K172" s="32"/>
      <c r="L172" s="32"/>
      <c r="M172" s="200"/>
      <c r="N172" s="200"/>
      <c r="O172" s="200"/>
      <c r="P172" s="200"/>
      <c r="Q172" s="32"/>
      <c r="R172" s="32"/>
      <c r="S172" s="32"/>
      <c r="T172" s="32"/>
      <c r="U172" s="32"/>
      <c r="V172" s="32"/>
    </row>
    <row r="173" spans="1:22">
      <c r="A173" s="32"/>
      <c r="B173" s="32"/>
      <c r="C173" s="32"/>
      <c r="D173" s="32"/>
      <c r="E173" s="32"/>
      <c r="F173" s="32"/>
      <c r="G173" s="199"/>
      <c r="H173" s="81"/>
      <c r="I173" s="32"/>
      <c r="J173" s="32"/>
      <c r="K173" s="32"/>
      <c r="L173" s="32"/>
      <c r="M173" s="200"/>
      <c r="N173" s="200"/>
      <c r="O173" s="200"/>
      <c r="P173" s="200"/>
      <c r="Q173" s="32"/>
      <c r="R173" s="32"/>
      <c r="S173" s="32"/>
      <c r="T173" s="32"/>
      <c r="U173" s="32"/>
      <c r="V173" s="32"/>
    </row>
    <row r="174" spans="1:22">
      <c r="A174" s="32"/>
      <c r="B174" s="32"/>
      <c r="C174" s="32"/>
      <c r="D174" s="32"/>
      <c r="E174" s="32"/>
      <c r="F174" s="32"/>
      <c r="G174" s="199"/>
      <c r="H174" s="81"/>
      <c r="I174" s="32"/>
      <c r="J174" s="32"/>
      <c r="K174" s="32"/>
      <c r="L174" s="32"/>
      <c r="M174" s="200"/>
      <c r="N174" s="200"/>
      <c r="O174" s="200"/>
      <c r="P174" s="200"/>
      <c r="Q174" s="32"/>
      <c r="R174" s="32"/>
      <c r="S174" s="32"/>
      <c r="T174" s="32"/>
      <c r="U174" s="32"/>
      <c r="V174" s="32"/>
    </row>
    <row r="175" spans="1:22">
      <c r="A175" s="32"/>
      <c r="B175" s="32"/>
      <c r="C175" s="32"/>
      <c r="D175" s="32"/>
      <c r="E175" s="32"/>
      <c r="F175" s="32"/>
      <c r="G175" s="199"/>
      <c r="H175" s="81"/>
      <c r="I175" s="32"/>
      <c r="J175" s="32"/>
      <c r="K175" s="32"/>
      <c r="L175" s="32"/>
      <c r="M175" s="200"/>
      <c r="N175" s="200"/>
      <c r="O175" s="200"/>
      <c r="P175" s="200"/>
      <c r="Q175" s="32"/>
      <c r="R175" s="32"/>
      <c r="S175" s="32"/>
      <c r="T175" s="32"/>
      <c r="U175" s="32"/>
      <c r="V175" s="32"/>
    </row>
    <row r="176" spans="1:22">
      <c r="A176" s="32"/>
      <c r="B176" s="32"/>
      <c r="C176" s="32"/>
      <c r="D176" s="32"/>
      <c r="E176" s="32"/>
      <c r="F176" s="32"/>
      <c r="G176" s="199"/>
      <c r="H176" s="81"/>
      <c r="I176" s="32"/>
      <c r="J176" s="32"/>
      <c r="K176" s="32"/>
      <c r="L176" s="32"/>
      <c r="M176" s="200"/>
      <c r="N176" s="200"/>
      <c r="O176" s="200"/>
      <c r="P176" s="200"/>
      <c r="Q176" s="32"/>
      <c r="R176" s="32"/>
      <c r="S176" s="32"/>
      <c r="T176" s="32"/>
      <c r="U176" s="32"/>
      <c r="V176" s="32"/>
    </row>
    <row r="177" spans="1:22">
      <c r="A177" s="32"/>
      <c r="B177" s="32"/>
      <c r="C177" s="32"/>
      <c r="D177" s="32"/>
      <c r="E177" s="32"/>
      <c r="F177" s="32"/>
      <c r="G177" s="199"/>
      <c r="H177" s="81"/>
      <c r="I177" s="32"/>
      <c r="J177" s="32"/>
      <c r="K177" s="32"/>
      <c r="L177" s="32"/>
      <c r="M177" s="200"/>
      <c r="N177" s="200"/>
      <c r="O177" s="200"/>
      <c r="P177" s="200"/>
      <c r="Q177" s="32"/>
      <c r="R177" s="32"/>
      <c r="S177" s="32"/>
      <c r="T177" s="32"/>
      <c r="U177" s="32"/>
      <c r="V177" s="32"/>
    </row>
    <row r="178" spans="1:22">
      <c r="A178" s="32"/>
      <c r="B178" s="32"/>
      <c r="C178" s="32"/>
      <c r="D178" s="32"/>
      <c r="E178" s="32"/>
      <c r="F178" s="32"/>
      <c r="G178" s="199"/>
      <c r="H178" s="81"/>
      <c r="I178" s="32"/>
      <c r="J178" s="32"/>
      <c r="K178" s="32"/>
      <c r="L178" s="32"/>
      <c r="M178" s="200"/>
      <c r="N178" s="200"/>
      <c r="O178" s="200"/>
      <c r="P178" s="200"/>
      <c r="Q178" s="32"/>
      <c r="R178" s="32"/>
      <c r="S178" s="32"/>
      <c r="T178" s="32"/>
      <c r="U178" s="32"/>
      <c r="V178" s="32"/>
    </row>
    <row r="179" spans="1:22">
      <c r="A179" s="32"/>
      <c r="B179" s="32"/>
      <c r="C179" s="32"/>
      <c r="D179" s="32"/>
      <c r="E179" s="32"/>
      <c r="F179" s="32"/>
      <c r="G179" s="199"/>
      <c r="H179" s="81"/>
      <c r="I179" s="32"/>
      <c r="J179" s="32"/>
      <c r="K179" s="32"/>
      <c r="L179" s="32"/>
      <c r="M179" s="200"/>
      <c r="N179" s="200"/>
      <c r="O179" s="200"/>
      <c r="P179" s="200"/>
      <c r="Q179" s="32"/>
      <c r="R179" s="32"/>
      <c r="S179" s="32"/>
      <c r="T179" s="32"/>
      <c r="U179" s="32"/>
      <c r="V179" s="32"/>
    </row>
    <row r="180" spans="1:22">
      <c r="A180" s="32"/>
      <c r="B180" s="32"/>
      <c r="C180" s="32"/>
      <c r="D180" s="32"/>
      <c r="E180" s="32"/>
      <c r="F180" s="32"/>
      <c r="G180" s="199"/>
      <c r="H180" s="81"/>
      <c r="I180" s="32"/>
      <c r="J180" s="32"/>
      <c r="K180" s="32"/>
      <c r="L180" s="32"/>
      <c r="M180" s="200"/>
      <c r="N180" s="200"/>
      <c r="O180" s="200"/>
      <c r="P180" s="200"/>
      <c r="Q180" s="32"/>
      <c r="R180" s="32"/>
      <c r="S180" s="32"/>
      <c r="T180" s="32"/>
      <c r="U180" s="32"/>
      <c r="V180" s="32"/>
    </row>
    <row r="181" spans="1:22">
      <c r="A181" s="32"/>
      <c r="B181" s="32"/>
      <c r="C181" s="32"/>
      <c r="D181" s="32"/>
      <c r="E181" s="32"/>
      <c r="F181" s="32"/>
      <c r="G181" s="199"/>
      <c r="H181" s="81"/>
      <c r="I181" s="32"/>
      <c r="J181" s="32"/>
      <c r="K181" s="32"/>
      <c r="L181" s="32"/>
      <c r="M181" s="200"/>
      <c r="N181" s="200"/>
      <c r="O181" s="200"/>
      <c r="P181" s="200"/>
      <c r="Q181" s="32"/>
      <c r="R181" s="32"/>
      <c r="S181" s="32"/>
      <c r="T181" s="32"/>
      <c r="U181" s="32"/>
      <c r="V181" s="32"/>
    </row>
  </sheetData>
  <mergeCells count="231">
    <mergeCell ref="B140:H140"/>
    <mergeCell ref="F134:F135"/>
    <mergeCell ref="F23:F28"/>
    <mergeCell ref="G23:G28"/>
    <mergeCell ref="C35:V35"/>
    <mergeCell ref="E134:E135"/>
    <mergeCell ref="F6:F8"/>
    <mergeCell ref="E6:E8"/>
    <mergeCell ref="H6:H8"/>
    <mergeCell ref="D6:D8"/>
    <mergeCell ref="A9:V9"/>
    <mergeCell ref="U6:U8"/>
    <mergeCell ref="G6:G8"/>
    <mergeCell ref="Q6:T6"/>
    <mergeCell ref="T7:T8"/>
    <mergeCell ref="I6:L6"/>
    <mergeCell ref="B11:V11"/>
    <mergeCell ref="A10:V10"/>
    <mergeCell ref="B30:B32"/>
    <mergeCell ref="B44:B46"/>
    <mergeCell ref="B36:B39"/>
    <mergeCell ref="D40:D43"/>
    <mergeCell ref="C47:C48"/>
    <mergeCell ref="F18:F22"/>
    <mergeCell ref="A1:V1"/>
    <mergeCell ref="A2:V2"/>
    <mergeCell ref="A3:V3"/>
    <mergeCell ref="A4:V4"/>
    <mergeCell ref="C5:V5"/>
    <mergeCell ref="R7:S7"/>
    <mergeCell ref="B6:B8"/>
    <mergeCell ref="L7:L8"/>
    <mergeCell ref="P7:P8"/>
    <mergeCell ref="Q7:Q8"/>
    <mergeCell ref="V6:V8"/>
    <mergeCell ref="N7:O7"/>
    <mergeCell ref="I7:I8"/>
    <mergeCell ref="M6:P6"/>
    <mergeCell ref="A6:A8"/>
    <mergeCell ref="M7:M8"/>
    <mergeCell ref="C6:C8"/>
    <mergeCell ref="J7:K7"/>
    <mergeCell ref="D13:D17"/>
    <mergeCell ref="E13:E17"/>
    <mergeCell ref="C12:V12"/>
    <mergeCell ref="A51:A52"/>
    <mergeCell ref="G49:G50"/>
    <mergeCell ref="C13:C17"/>
    <mergeCell ref="G18:G22"/>
    <mergeCell ref="F13:F17"/>
    <mergeCell ref="C18:C22"/>
    <mergeCell ref="G30:G32"/>
    <mergeCell ref="D30:D32"/>
    <mergeCell ref="A30:A32"/>
    <mergeCell ref="E30:E32"/>
    <mergeCell ref="F30:F32"/>
    <mergeCell ref="C23:C28"/>
    <mergeCell ref="C30:C32"/>
    <mergeCell ref="B49:B50"/>
    <mergeCell ref="B47:B48"/>
    <mergeCell ref="A36:A39"/>
    <mergeCell ref="A44:A46"/>
    <mergeCell ref="C44:C46"/>
    <mergeCell ref="A49:A50"/>
    <mergeCell ref="G13:G17"/>
    <mergeCell ref="A18:A22"/>
    <mergeCell ref="A23:A28"/>
    <mergeCell ref="C36:C39"/>
    <mergeCell ref="C34:H34"/>
    <mergeCell ref="E36:E39"/>
    <mergeCell ref="D36:D39"/>
    <mergeCell ref="D18:D22"/>
    <mergeCell ref="E18:E22"/>
    <mergeCell ref="G36:G37"/>
    <mergeCell ref="E23:E28"/>
    <mergeCell ref="D23:D28"/>
    <mergeCell ref="G44:G46"/>
    <mergeCell ref="D47:D48"/>
    <mergeCell ref="E91:E94"/>
    <mergeCell ref="E67:E69"/>
    <mergeCell ref="E78:E79"/>
    <mergeCell ref="F49:F50"/>
    <mergeCell ref="E85:E88"/>
    <mergeCell ref="B55:V55"/>
    <mergeCell ref="B78:B79"/>
    <mergeCell ref="D78:D79"/>
    <mergeCell ref="D68:D69"/>
    <mergeCell ref="E49:E50"/>
    <mergeCell ref="B54:H54"/>
    <mergeCell ref="E51:E52"/>
    <mergeCell ref="F51:F52"/>
    <mergeCell ref="G51:G52"/>
    <mergeCell ref="C53:H53"/>
    <mergeCell ref="D51:D52"/>
    <mergeCell ref="C49:C50"/>
    <mergeCell ref="D49:D50"/>
    <mergeCell ref="D44:D46"/>
    <mergeCell ref="F44:F46"/>
    <mergeCell ref="E44:E46"/>
    <mergeCell ref="F91:F94"/>
    <mergeCell ref="A78:A79"/>
    <mergeCell ref="C91:C94"/>
    <mergeCell ref="A130:A131"/>
    <mergeCell ref="A115:A116"/>
    <mergeCell ref="B115:B116"/>
    <mergeCell ref="C56:V56"/>
    <mergeCell ref="A75:A77"/>
    <mergeCell ref="C75:C77"/>
    <mergeCell ref="D75:D77"/>
    <mergeCell ref="D113:D114"/>
    <mergeCell ref="F78:F79"/>
    <mergeCell ref="B75:B77"/>
    <mergeCell ref="A91:A94"/>
    <mergeCell ref="D91:D94"/>
    <mergeCell ref="B97:B100"/>
    <mergeCell ref="C105:V105"/>
    <mergeCell ref="C104:H104"/>
    <mergeCell ref="A97:A100"/>
    <mergeCell ref="C97:C100"/>
    <mergeCell ref="E97:E100"/>
    <mergeCell ref="B91:B94"/>
    <mergeCell ref="D83:D84"/>
    <mergeCell ref="D87:D88"/>
    <mergeCell ref="D89:D90"/>
    <mergeCell ref="C95:C96"/>
    <mergeCell ref="A128:A129"/>
    <mergeCell ref="C118:V118"/>
    <mergeCell ref="E124:E125"/>
    <mergeCell ref="E106:E112"/>
    <mergeCell ref="D115:D116"/>
    <mergeCell ref="E115:E116"/>
    <mergeCell ref="F115:F116"/>
    <mergeCell ref="C101:C103"/>
    <mergeCell ref="D101:D103"/>
    <mergeCell ref="E113:E114"/>
    <mergeCell ref="D128:D129"/>
    <mergeCell ref="B128:B129"/>
    <mergeCell ref="Q144:T144"/>
    <mergeCell ref="Q143:T143"/>
    <mergeCell ref="M143:P143"/>
    <mergeCell ref="A144:H144"/>
    <mergeCell ref="I144:L144"/>
    <mergeCell ref="C138:H138"/>
    <mergeCell ref="B130:B131"/>
    <mergeCell ref="G136:G137"/>
    <mergeCell ref="B139:H139"/>
    <mergeCell ref="C136:C137"/>
    <mergeCell ref="D134:D135"/>
    <mergeCell ref="G132:G133"/>
    <mergeCell ref="A143:H143"/>
    <mergeCell ref="B134:B135"/>
    <mergeCell ref="C134:C135"/>
    <mergeCell ref="D130:D131"/>
    <mergeCell ref="E130:E131"/>
    <mergeCell ref="G130:G131"/>
    <mergeCell ref="E132:E133"/>
    <mergeCell ref="C130:C131"/>
    <mergeCell ref="F130:F131"/>
    <mergeCell ref="B132:B133"/>
    <mergeCell ref="D132:D133"/>
    <mergeCell ref="A134:A135"/>
    <mergeCell ref="Q152:T152"/>
    <mergeCell ref="A151:H151"/>
    <mergeCell ref="A149:H149"/>
    <mergeCell ref="I149:L149"/>
    <mergeCell ref="I145:L145"/>
    <mergeCell ref="I150:L150"/>
    <mergeCell ref="M150:P150"/>
    <mergeCell ref="Q150:T150"/>
    <mergeCell ref="M147:P147"/>
    <mergeCell ref="Q147:T147"/>
    <mergeCell ref="Q149:T149"/>
    <mergeCell ref="I147:L147"/>
    <mergeCell ref="M148:P148"/>
    <mergeCell ref="Q148:T148"/>
    <mergeCell ref="A146:H146"/>
    <mergeCell ref="I146:L146"/>
    <mergeCell ref="M146:P146"/>
    <mergeCell ref="Q146:T146"/>
    <mergeCell ref="A147:H147"/>
    <mergeCell ref="M145:P145"/>
    <mergeCell ref="Q145:T145"/>
    <mergeCell ref="A145:H145"/>
    <mergeCell ref="A156:H156"/>
    <mergeCell ref="I156:L156"/>
    <mergeCell ref="A153:H153"/>
    <mergeCell ref="I153:L153"/>
    <mergeCell ref="I148:L148"/>
    <mergeCell ref="D136:D137"/>
    <mergeCell ref="A142:T142"/>
    <mergeCell ref="Q156:T156"/>
    <mergeCell ref="M156:P156"/>
    <mergeCell ref="Q155:T155"/>
    <mergeCell ref="F136:F137"/>
    <mergeCell ref="Q154:T154"/>
    <mergeCell ref="M154:P154"/>
    <mergeCell ref="A154:H154"/>
    <mergeCell ref="A136:A137"/>
    <mergeCell ref="Q151:T151"/>
    <mergeCell ref="M153:P153"/>
    <mergeCell ref="Q153:T153"/>
    <mergeCell ref="M149:P149"/>
    <mergeCell ref="B136:B137"/>
    <mergeCell ref="I155:L155"/>
    <mergeCell ref="I151:L151"/>
    <mergeCell ref="M151:P151"/>
    <mergeCell ref="I154:L154"/>
    <mergeCell ref="E70:E74"/>
    <mergeCell ref="C89:C90"/>
    <mergeCell ref="D97:D100"/>
    <mergeCell ref="C78:C79"/>
    <mergeCell ref="D95:D96"/>
    <mergeCell ref="M155:P155"/>
    <mergeCell ref="F132:F133"/>
    <mergeCell ref="E136:E137"/>
    <mergeCell ref="A155:H155"/>
    <mergeCell ref="A150:H150"/>
    <mergeCell ref="A132:A133"/>
    <mergeCell ref="C132:C133"/>
    <mergeCell ref="A148:H148"/>
    <mergeCell ref="A152:H152"/>
    <mergeCell ref="I152:L152"/>
    <mergeCell ref="M152:P152"/>
    <mergeCell ref="I143:L143"/>
    <mergeCell ref="M144:P144"/>
    <mergeCell ref="A113:A114"/>
    <mergeCell ref="C117:H117"/>
    <mergeCell ref="F113:F114"/>
    <mergeCell ref="C115:C116"/>
    <mergeCell ref="G113:G114"/>
    <mergeCell ref="C128:C129"/>
  </mergeCells>
  <phoneticPr fontId="1" type="noConversion"/>
  <printOptions horizontalCentered="1"/>
  <pageMargins left="0" right="0" top="0" bottom="0" header="0" footer="0"/>
  <pageSetup paperSize="9" scale="80" orientation="landscape" r:id="rId1"/>
  <headerFooter alignWithMargins="0">
    <oddFooter>Puslapių &amp;P</oddFooter>
  </headerFooter>
  <rowBreaks count="4" manualBreakCount="4">
    <brk id="34" max="16383" man="1"/>
    <brk id="62" max="21" man="1"/>
    <brk id="84" max="16383"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E9" sqref="E9"/>
    </sheetView>
  </sheetViews>
  <sheetFormatPr defaultRowHeight="12.75"/>
  <cols>
    <col min="1" max="1" width="50.7109375" style="324" customWidth="1"/>
    <col min="2" max="2" width="10.42578125" style="324" customWidth="1"/>
    <col min="3" max="3" width="12" style="324" customWidth="1"/>
    <col min="4" max="4" width="10" style="324" customWidth="1"/>
    <col min="5" max="5" width="9.42578125" style="324" customWidth="1"/>
    <col min="6" max="6" width="9.85546875" style="324" customWidth="1"/>
    <col min="7" max="16384" width="9.140625" style="324"/>
  </cols>
  <sheetData>
    <row r="1" spans="1:9" ht="25.5" customHeight="1">
      <c r="A1" s="1070" t="s">
        <v>157</v>
      </c>
      <c r="B1" s="1071"/>
      <c r="C1" s="1071"/>
      <c r="D1" s="1071"/>
      <c r="E1" s="1072"/>
      <c r="F1" s="1072"/>
    </row>
    <row r="2" spans="1:9" ht="13.5" thickBot="1">
      <c r="F2" s="325" t="s">
        <v>11</v>
      </c>
    </row>
    <row r="3" spans="1:9" ht="13.15" customHeight="1">
      <c r="A3" s="1073" t="s">
        <v>158</v>
      </c>
      <c r="B3" s="1076" t="s">
        <v>93</v>
      </c>
      <c r="C3" s="1073" t="s">
        <v>111</v>
      </c>
      <c r="D3" s="1076" t="s">
        <v>247</v>
      </c>
      <c r="E3" s="1076" t="s">
        <v>151</v>
      </c>
      <c r="F3" s="1076" t="s">
        <v>168</v>
      </c>
    </row>
    <row r="4" spans="1:9">
      <c r="A4" s="1074"/>
      <c r="B4" s="1077"/>
      <c r="C4" s="1079"/>
      <c r="D4" s="1077"/>
      <c r="E4" s="1077"/>
      <c r="F4" s="1077"/>
    </row>
    <row r="5" spans="1:9">
      <c r="A5" s="1074"/>
      <c r="B5" s="1077"/>
      <c r="C5" s="1079"/>
      <c r="D5" s="1077"/>
      <c r="E5" s="1077"/>
      <c r="F5" s="1077"/>
      <c r="G5" s="326"/>
      <c r="H5" s="326"/>
    </row>
    <row r="6" spans="1:9" ht="39.75" customHeight="1" thickBot="1">
      <c r="A6" s="1075"/>
      <c r="B6" s="1078"/>
      <c r="C6" s="1080"/>
      <c r="D6" s="1078"/>
      <c r="E6" s="1078"/>
      <c r="F6" s="1078"/>
      <c r="G6" s="326"/>
      <c r="H6" s="326"/>
    </row>
    <row r="7" spans="1:9" ht="15.75" customHeight="1">
      <c r="A7" s="498" t="s">
        <v>159</v>
      </c>
      <c r="B7" s="499">
        <f>B8+B10</f>
        <v>232520.88</v>
      </c>
      <c r="C7" s="500">
        <f>C8+C10</f>
        <v>237335.34099999999</v>
      </c>
      <c r="D7" s="499">
        <f>D8+D10</f>
        <v>221447.8</v>
      </c>
      <c r="E7" s="499">
        <f>SUM('1 lentelė'!U140)</f>
        <v>220784.2</v>
      </c>
      <c r="F7" s="501">
        <f>SUM('1 lentelė'!V140)</f>
        <v>215614.3</v>
      </c>
      <c r="G7" s="327"/>
      <c r="H7" s="326"/>
    </row>
    <row r="8" spans="1:9" ht="15.75" customHeight="1">
      <c r="A8" s="506" t="s">
        <v>160</v>
      </c>
      <c r="B8" s="112">
        <f>SUM('1 lentelė'!J140)</f>
        <v>214410.30000000002</v>
      </c>
      <c r="C8" s="328">
        <f>SUM('1 lentelė'!N140)</f>
        <v>219570.8</v>
      </c>
      <c r="D8" s="502">
        <f>SUM('1 lentelė'!R140)</f>
        <v>203866.19999999998</v>
      </c>
      <c r="E8" s="112"/>
      <c r="F8" s="329"/>
      <c r="G8" s="326"/>
      <c r="H8" s="326"/>
    </row>
    <row r="9" spans="1:9" ht="15.75" customHeight="1">
      <c r="A9" s="508" t="s">
        <v>161</v>
      </c>
      <c r="B9" s="330">
        <f>SUM('1 lentelė'!K140)</f>
        <v>129940.89999999998</v>
      </c>
      <c r="C9" s="331">
        <f>SUM('1 lentelė'!O140)</f>
        <v>127800.9</v>
      </c>
      <c r="D9" s="503">
        <f>SUM('1 lentelė'!O140)</f>
        <v>127800.9</v>
      </c>
      <c r="E9" s="112"/>
      <c r="F9" s="332"/>
      <c r="G9" s="326"/>
      <c r="H9" s="326"/>
    </row>
    <row r="10" spans="1:9" ht="15.75" customHeight="1">
      <c r="A10" s="510" t="s">
        <v>162</v>
      </c>
      <c r="B10" s="41">
        <f>SUM('1 lentelė'!L140)</f>
        <v>18110.580000000002</v>
      </c>
      <c r="C10" s="531">
        <f>SUM('1 lentelė'!P140)</f>
        <v>17764.541000000001</v>
      </c>
      <c r="D10" s="532">
        <f>SUM('1 lentelė'!T140)</f>
        <v>17581.600000000002</v>
      </c>
      <c r="E10" s="41"/>
      <c r="F10" s="533"/>
      <c r="G10" s="334"/>
      <c r="H10" s="326"/>
      <c r="I10" s="335"/>
    </row>
    <row r="11" spans="1:9" ht="15.75" customHeight="1">
      <c r="A11" s="534" t="s">
        <v>163</v>
      </c>
      <c r="B11" s="535">
        <f>B12+B19</f>
        <v>232520.88000000003</v>
      </c>
      <c r="C11" s="535">
        <f>C12+C19</f>
        <v>237335.34100000001</v>
      </c>
      <c r="D11" s="535">
        <f ca="1">D12+D19</f>
        <v>221447.80000000002</v>
      </c>
      <c r="E11" s="535">
        <f>E12+E19</f>
        <v>220784.2</v>
      </c>
      <c r="F11" s="535">
        <f>F12+F19</f>
        <v>215614.30000000005</v>
      </c>
      <c r="H11" s="335"/>
    </row>
    <row r="12" spans="1:9" ht="15.75" customHeight="1">
      <c r="A12" s="536" t="s">
        <v>164</v>
      </c>
      <c r="B12" s="537">
        <f>SUM(B13:B18)</f>
        <v>214525.50000000003</v>
      </c>
      <c r="C12" s="537">
        <f>SUM(C13:C18)</f>
        <v>221426.7</v>
      </c>
      <c r="D12" s="537">
        <f ca="1">SUM(D13:D18)</f>
        <v>206299.6</v>
      </c>
      <c r="E12" s="537">
        <f>SUM(E13:E18)</f>
        <v>211328.1</v>
      </c>
      <c r="F12" s="537">
        <f>SUM(F13:F18)</f>
        <v>211346.60000000003</v>
      </c>
      <c r="H12" s="335"/>
    </row>
    <row r="13" spans="1:9" ht="15.75" customHeight="1">
      <c r="A13" s="506" t="s">
        <v>233</v>
      </c>
      <c r="B13" s="112">
        <f>SUM('1 lentelė'!I145:L145)</f>
        <v>84476.5</v>
      </c>
      <c r="C13" s="112">
        <f>SUM('1 lentelė'!M145:P145)</f>
        <v>93669.400000000023</v>
      </c>
      <c r="D13" s="502">
        <f>SUM('1 lentelė'!Q145:T145)</f>
        <v>80775.700000000012</v>
      </c>
      <c r="E13" s="112">
        <f>SUMIF('1 lentelė'!H13:'1 lentelė'!H136,"sb",'1 lentelė'!U136:'1 lentelė'!U13)</f>
        <v>84737.600000000006</v>
      </c>
      <c r="F13" s="112">
        <f>SUMIF('1 lentelė'!H136:'1 lentelė'!H13,"sb",'1 lentelė'!V13:'1 lentelė'!V136)</f>
        <v>84174.400000000009</v>
      </c>
      <c r="H13" s="335"/>
    </row>
    <row r="14" spans="1:9" ht="15.75" customHeight="1">
      <c r="A14" s="506" t="s">
        <v>234</v>
      </c>
      <c r="B14" s="116">
        <f>SUM('1 lentelė'!I146:L146)</f>
        <v>16259.9</v>
      </c>
      <c r="C14" s="116">
        <f>SUM('1 lentelė'!M146:P146)</f>
        <v>16066.600000000002</v>
      </c>
      <c r="D14" s="504">
        <f>SUM('1 lentelė'!Q146:T146)</f>
        <v>16558.699999999997</v>
      </c>
      <c r="E14" s="116">
        <f>SUMIF('1 lentelė'!H13:'1 lentelė'!H136,"sb(sp)",'1 lentelė'!U136:'1 lentelė'!U13)</f>
        <v>16281</v>
      </c>
      <c r="F14" s="116">
        <f>SUMIF('1 lentelė'!H136:'1 lentelė'!H13,"sb(sp)",'1 lentelė'!V13:'1 lentelė'!V136)</f>
        <v>16281</v>
      </c>
      <c r="G14" s="335"/>
      <c r="H14" s="335"/>
      <c r="I14" s="335"/>
    </row>
    <row r="15" spans="1:9" ht="27" customHeight="1">
      <c r="A15" s="506" t="s">
        <v>235</v>
      </c>
      <c r="B15" s="112">
        <f>SUM('1 lentelė'!I147:L147)</f>
        <v>110485.00000000001</v>
      </c>
      <c r="C15" s="112">
        <f>SUM('1 lentelė'!M147:P147)</f>
        <v>108465</v>
      </c>
      <c r="D15" s="502">
        <f>SUM('1 lentelė'!Q147:T147)</f>
        <v>106258.80000000002</v>
      </c>
      <c r="E15" s="112">
        <f>SUMIF('1 lentelė'!H13:'1 lentelė'!H136,"sb(vb)",'1 lentelė'!U136:'1 lentelė'!U13)</f>
        <v>108496</v>
      </c>
      <c r="F15" s="112">
        <f>SUMIF('1 lentelė'!H136:'1 lentelė'!H13,"sb(vb)",'1 lentelė'!V13:'1 lentelė'!V136)</f>
        <v>108446</v>
      </c>
      <c r="G15" s="335"/>
      <c r="H15" s="335"/>
    </row>
    <row r="16" spans="1:9" ht="27" customHeight="1">
      <c r="A16" s="509" t="s">
        <v>236</v>
      </c>
      <c r="B16" s="202">
        <f>SUM('1 lentelė'!I148:L148)</f>
        <v>100</v>
      </c>
      <c r="C16" s="202">
        <f>SUM('1 lentelė'!M148:P148)</f>
        <v>200</v>
      </c>
      <c r="D16" s="503">
        <f>SUM('1 lentelė'!Q148:T148)</f>
        <v>200</v>
      </c>
      <c r="E16" s="202">
        <f>SUMIF('1 lentelė'!H13:'1 lentelė'!H136,"sb(mk)",'1 lentelė'!U136:'1 lentelė'!U13)</f>
        <v>200</v>
      </c>
      <c r="F16" s="202">
        <f>SUMIF('1 lentelė'!H136:'1 lentelė'!H13,"sb(mk)",'1 lentelė'!V13:'1 lentelė'!V136)</f>
        <v>200</v>
      </c>
    </row>
    <row r="17" spans="1:9" ht="15.75" customHeight="1">
      <c r="A17" s="509" t="s">
        <v>237</v>
      </c>
      <c r="B17" s="202">
        <f>SUM('1 lentelė'!I149:L149)</f>
        <v>2769.7000000000003</v>
      </c>
      <c r="C17" s="202">
        <f>SUM('1 lentelė'!M149:P149)</f>
        <v>2581.2999999999997</v>
      </c>
      <c r="D17" s="503">
        <f>SUM('1 lentelė'!Q149:T149)</f>
        <v>2062</v>
      </c>
      <c r="E17" s="202">
        <f>SUMIF('1 lentelė'!H13:'1 lentelė'!H136,"sb(p)",'1 lentelė'!U136:'1 lentelė'!U13)</f>
        <v>1613.5</v>
      </c>
      <c r="F17" s="202">
        <f>SUMIF('1 lentelė'!H136:'1 lentelė'!H13,"sb(p)",'1 lentelė'!V13:'1 lentelė'!V136)</f>
        <v>2245.1999999999998</v>
      </c>
    </row>
    <row r="18" spans="1:9" ht="15.75" customHeight="1">
      <c r="A18" s="509" t="s">
        <v>238</v>
      </c>
      <c r="B18" s="202">
        <f>SUM('1 lentelė'!I150:L150)</f>
        <v>434.4</v>
      </c>
      <c r="C18" s="202">
        <f>SUM('1 lentelė'!M150:P150)</f>
        <v>444.4</v>
      </c>
      <c r="D18" s="503">
        <f ca="1">SUM('1 lentelė'!Q150:T150)</f>
        <v>444.4</v>
      </c>
      <c r="E18" s="202">
        <f>SUMIF('1 lentelė'!H13:'1 lentelė'!H136,"pf",'1 lentelė'!U136:'1 lentelė'!U13)</f>
        <v>0</v>
      </c>
      <c r="F18" s="202">
        <f>SUMIF('1 lentelė'!H136:'1 lentelė'!H13,"pf",'1 lentelė'!V13:'1 lentelė'!V136)</f>
        <v>0</v>
      </c>
      <c r="I18" s="335"/>
    </row>
    <row r="19" spans="1:9" ht="15.75" customHeight="1">
      <c r="A19" s="538" t="s">
        <v>165</v>
      </c>
      <c r="B19" s="537">
        <f>SUM(B20:B23)</f>
        <v>17995.38</v>
      </c>
      <c r="C19" s="537">
        <f>SUM(C20:C23)</f>
        <v>15908.641000000001</v>
      </c>
      <c r="D19" s="537">
        <f>SUM(D20:D23)</f>
        <v>15148.2</v>
      </c>
      <c r="E19" s="537">
        <f>SUM(E20:E23)</f>
        <v>9456.1</v>
      </c>
      <c r="F19" s="537">
        <f>SUM(F20:F23)</f>
        <v>4267.7</v>
      </c>
    </row>
    <row r="20" spans="1:9" ht="15.75" customHeight="1">
      <c r="A20" s="506" t="s">
        <v>166</v>
      </c>
      <c r="B20" s="112">
        <f>SUM('1 lentelė'!I152:L152)</f>
        <v>15951.279999999999</v>
      </c>
      <c r="C20" s="112">
        <f>SUM('1 lentelė'!M152:P152)</f>
        <v>15105.741000000002</v>
      </c>
      <c r="D20" s="502">
        <f>SUM('1 lentelė'!Q152:T152)</f>
        <v>14345.300000000001</v>
      </c>
      <c r="E20" s="112">
        <f>SUMIF('1 lentelė'!H13:'1 lentelė'!H136,"es",'1 lentelė'!U136:'1 lentelė'!U13)</f>
        <v>1556.1</v>
      </c>
      <c r="F20" s="112">
        <f>SUMIF('1 lentelė'!H136:'1 lentelė'!H13,"es",'1 lentelė'!V13:'1 lentelė'!V136)</f>
        <v>2270.6</v>
      </c>
    </row>
    <row r="21" spans="1:9" ht="15.75" customHeight="1">
      <c r="A21" s="509" t="s">
        <v>167</v>
      </c>
      <c r="B21" s="202">
        <f>SUM('1 lentelė'!I153:L153)</f>
        <v>636.20000000000005</v>
      </c>
      <c r="C21" s="202">
        <f>SUM('1 lentelė'!M153:P153)</f>
        <v>727.9</v>
      </c>
      <c r="D21" s="503">
        <f>SUM('1 lentelė'!Q153:T153)</f>
        <v>727.9</v>
      </c>
      <c r="E21" s="202">
        <f>SUMIF('1 lentelė'!H13:'1 lentelė'!H136,"lrvb",'1 lentelė'!U136:'1 lentelė'!U13)</f>
        <v>7500</v>
      </c>
      <c r="F21" s="202">
        <f>SUMIF('1 lentelė'!H136:'1 lentelė'!H13,"lrvb",'1 lentelė'!V13:'1 lentelė'!V136)</f>
        <v>1997.1</v>
      </c>
    </row>
    <row r="22" spans="1:9" ht="15.75" customHeight="1">
      <c r="A22" s="509" t="s">
        <v>202</v>
      </c>
      <c r="B22" s="202"/>
      <c r="C22" s="202">
        <f>SUM('1 lentelė'!M154:P154)</f>
        <v>75</v>
      </c>
      <c r="D22" s="503">
        <f>SUM('1 lentelė'!Q154:T154)</f>
        <v>75</v>
      </c>
      <c r="E22" s="202"/>
      <c r="F22" s="202"/>
    </row>
    <row r="23" spans="1:9" ht="15.75" customHeight="1" thickBot="1">
      <c r="A23" s="507" t="s">
        <v>239</v>
      </c>
      <c r="B23" s="333">
        <f>SUM('1 lentelė'!I155:L155)</f>
        <v>1407.9</v>
      </c>
      <c r="C23" s="333">
        <f>SUM('1 lentelė'!M155:P155)</f>
        <v>0</v>
      </c>
      <c r="D23" s="505">
        <f>SUM('1 lentelė'!Q155:T155)</f>
        <v>0</v>
      </c>
      <c r="E23" s="333">
        <f>SUMIF('1 lentelė'!H13:'1 lentelė'!H136,"kt",'1 lentelė'!U136:'1 lentelė'!U13)</f>
        <v>400</v>
      </c>
      <c r="F23" s="333">
        <f>SUMIF('1 lentelė'!H136:'1 lentelė'!H13,"kt",'1 lentelė'!V13:'1 lentelė'!V136)</f>
        <v>0</v>
      </c>
    </row>
    <row r="24" spans="1:9" ht="15" customHeight="1">
      <c r="A24" s="495"/>
      <c r="B24" s="496"/>
      <c r="C24" s="496"/>
      <c r="D24" s="496"/>
      <c r="E24" s="496"/>
      <c r="F24" s="496"/>
    </row>
  </sheetData>
  <mergeCells count="7">
    <mergeCell ref="A1:F1"/>
    <mergeCell ref="A3:A6"/>
    <mergeCell ref="B3:B6"/>
    <mergeCell ref="C3:C6"/>
    <mergeCell ref="D3:D6"/>
    <mergeCell ref="E3:E6"/>
    <mergeCell ref="F3:F6"/>
  </mergeCells>
  <phoneticPr fontId="17" type="noConversion"/>
  <pageMargins left="0.74803149606299213" right="0.35433070866141736" top="0.78740157480314965" bottom="0.39370078740157483"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7"/>
  <sheetViews>
    <sheetView zoomScaleNormal="100" zoomScaleSheetLayoutView="130" workbookViewId="0"/>
  </sheetViews>
  <sheetFormatPr defaultRowHeight="12.75"/>
  <cols>
    <col min="1" max="1" width="12.85546875" style="381" customWidth="1"/>
    <col min="2" max="2" width="72.7109375" style="381" customWidth="1"/>
    <col min="3" max="3" width="11.5703125" style="381" customWidth="1"/>
    <col min="4" max="4" width="11.28515625" style="381" customWidth="1"/>
    <col min="5" max="5" width="10.28515625" style="381" customWidth="1"/>
    <col min="6" max="6" width="10.42578125" style="381" customWidth="1"/>
    <col min="7" max="7" width="10.85546875" style="381" customWidth="1"/>
    <col min="8" max="16384" width="9.140625" style="381"/>
  </cols>
  <sheetData>
    <row r="1" spans="1:9" ht="18.75" customHeight="1">
      <c r="A1" s="377"/>
      <c r="B1" s="377" t="s">
        <v>43</v>
      </c>
      <c r="C1" s="378"/>
      <c r="D1" s="378"/>
      <c r="E1" s="378"/>
      <c r="F1" s="379"/>
      <c r="G1" s="380" t="s">
        <v>44</v>
      </c>
    </row>
    <row r="2" spans="1:9" ht="12.75" customHeight="1">
      <c r="A2" s="382"/>
      <c r="B2" s="383" t="s">
        <v>99</v>
      </c>
      <c r="C2" s="384" t="s">
        <v>45</v>
      </c>
      <c r="D2" s="385" t="s">
        <v>31</v>
      </c>
      <c r="E2" s="386"/>
      <c r="F2" s="386"/>
      <c r="G2" s="386"/>
    </row>
    <row r="3" spans="1:9" ht="11.25" customHeight="1">
      <c r="A3" s="382"/>
      <c r="B3" s="387" t="s">
        <v>46</v>
      </c>
      <c r="C3" s="388"/>
      <c r="D3" s="389"/>
      <c r="E3" s="386"/>
      <c r="F3" s="386"/>
      <c r="G3" s="386"/>
      <c r="I3" s="75"/>
    </row>
    <row r="4" spans="1:9" ht="30.75" customHeight="1">
      <c r="A4" s="382"/>
      <c r="B4" s="383" t="s">
        <v>60</v>
      </c>
      <c r="C4" s="384" t="s">
        <v>45</v>
      </c>
      <c r="D4" s="385" t="s">
        <v>12</v>
      </c>
      <c r="E4" s="386"/>
      <c r="F4" s="386"/>
      <c r="G4" s="386"/>
    </row>
    <row r="5" spans="1:9" ht="15.75" customHeight="1">
      <c r="A5" s="390"/>
      <c r="B5" s="387" t="s">
        <v>47</v>
      </c>
      <c r="C5" s="391"/>
      <c r="D5" s="392"/>
      <c r="E5" s="393"/>
      <c r="F5" s="394"/>
      <c r="G5" s="394"/>
    </row>
    <row r="6" spans="1:9" ht="12" customHeight="1">
      <c r="A6" s="395"/>
      <c r="B6" s="396"/>
      <c r="C6" s="397"/>
      <c r="D6" s="396"/>
      <c r="E6" s="395"/>
      <c r="F6" s="396"/>
      <c r="G6" s="396"/>
    </row>
    <row r="7" spans="1:9">
      <c r="A7" s="1086" t="s">
        <v>48</v>
      </c>
      <c r="B7" s="1081" t="s">
        <v>49</v>
      </c>
      <c r="C7" s="1081" t="s">
        <v>50</v>
      </c>
      <c r="D7" s="1081" t="s">
        <v>172</v>
      </c>
      <c r="E7" s="1081" t="s">
        <v>51</v>
      </c>
      <c r="F7" s="1083" t="s">
        <v>71</v>
      </c>
      <c r="G7" s="1081" t="s">
        <v>98</v>
      </c>
    </row>
    <row r="8" spans="1:9">
      <c r="A8" s="1087"/>
      <c r="B8" s="1086"/>
      <c r="C8" s="1082" t="s">
        <v>37</v>
      </c>
      <c r="D8" s="1082" t="s">
        <v>52</v>
      </c>
      <c r="E8" s="1082"/>
      <c r="F8" s="1084"/>
      <c r="G8" s="1085"/>
      <c r="I8" s="75"/>
    </row>
    <row r="9" spans="1:9">
      <c r="A9" s="398" t="s">
        <v>59</v>
      </c>
      <c r="B9" s="356" t="s">
        <v>53</v>
      </c>
      <c r="C9" s="399"/>
      <c r="D9" s="358"/>
      <c r="E9" s="357"/>
      <c r="F9" s="358"/>
      <c r="G9" s="357"/>
    </row>
    <row r="10" spans="1:9">
      <c r="A10" s="350"/>
      <c r="B10" s="359" t="s">
        <v>54</v>
      </c>
      <c r="C10" s="351"/>
      <c r="D10" s="400"/>
      <c r="E10" s="401"/>
      <c r="F10" s="400"/>
      <c r="G10" s="402"/>
    </row>
    <row r="11" spans="1:9" ht="15.75" customHeight="1">
      <c r="A11" s="350"/>
      <c r="B11" s="369" t="s">
        <v>184</v>
      </c>
      <c r="C11" s="436" t="s">
        <v>74</v>
      </c>
      <c r="D11" s="436" t="s">
        <v>181</v>
      </c>
      <c r="E11" s="437" t="s">
        <v>182</v>
      </c>
      <c r="F11" s="436" t="s">
        <v>182</v>
      </c>
      <c r="G11" s="438" t="s">
        <v>182</v>
      </c>
    </row>
    <row r="12" spans="1:9" ht="25.5">
      <c r="A12" s="350"/>
      <c r="B12" s="374" t="s">
        <v>224</v>
      </c>
      <c r="C12" s="436" t="s">
        <v>174</v>
      </c>
      <c r="D12" s="352">
        <v>84.3</v>
      </c>
      <c r="E12" s="352">
        <v>72.3</v>
      </c>
      <c r="F12" s="353">
        <v>74.5</v>
      </c>
      <c r="G12" s="354">
        <v>75</v>
      </c>
    </row>
    <row r="13" spans="1:9">
      <c r="A13" s="350"/>
      <c r="B13" s="361" t="s">
        <v>185</v>
      </c>
      <c r="C13" s="436" t="s">
        <v>75</v>
      </c>
      <c r="D13" s="360">
        <v>96.6</v>
      </c>
      <c r="E13" s="352">
        <v>96.8</v>
      </c>
      <c r="F13" s="352">
        <v>96.8</v>
      </c>
      <c r="G13" s="352">
        <v>97</v>
      </c>
    </row>
    <row r="14" spans="1:9" ht="25.5">
      <c r="A14" s="350"/>
      <c r="B14" s="375" t="s">
        <v>225</v>
      </c>
      <c r="C14" s="436" t="s">
        <v>141</v>
      </c>
      <c r="D14" s="352">
        <v>23.2</v>
      </c>
      <c r="E14" s="352">
        <v>38.9</v>
      </c>
      <c r="F14" s="353">
        <v>39.799999999999997</v>
      </c>
      <c r="G14" s="352">
        <v>40.700000000000003</v>
      </c>
      <c r="H14" s="376"/>
      <c r="I14" s="75"/>
    </row>
    <row r="15" spans="1:9" ht="14.25" customHeight="1">
      <c r="A15" s="422"/>
      <c r="B15" s="439" t="s">
        <v>195</v>
      </c>
      <c r="C15" s="436" t="s">
        <v>183</v>
      </c>
      <c r="D15" s="353">
        <v>30.76</v>
      </c>
      <c r="E15" s="352">
        <v>30.76</v>
      </c>
      <c r="F15" s="353">
        <v>30.76</v>
      </c>
      <c r="G15" s="352">
        <v>30.76</v>
      </c>
    </row>
    <row r="16" spans="1:9" ht="16.5" customHeight="1">
      <c r="A16" s="350"/>
      <c r="B16" s="359" t="s">
        <v>140</v>
      </c>
      <c r="C16" s="403"/>
      <c r="D16" s="353"/>
      <c r="E16" s="352"/>
      <c r="F16" s="353"/>
      <c r="G16" s="404"/>
      <c r="I16" s="75"/>
    </row>
    <row r="17" spans="1:7">
      <c r="A17" s="350"/>
      <c r="B17" s="439" t="s">
        <v>186</v>
      </c>
      <c r="C17" s="351" t="s">
        <v>76</v>
      </c>
      <c r="D17" s="352">
        <v>22.3</v>
      </c>
      <c r="E17" s="352">
        <v>10.6</v>
      </c>
      <c r="F17" s="352">
        <v>5.3</v>
      </c>
      <c r="G17" s="352">
        <v>5.3</v>
      </c>
    </row>
    <row r="18" spans="1:7" ht="15.75" customHeight="1">
      <c r="A18" s="350"/>
      <c r="B18" s="439" t="s">
        <v>187</v>
      </c>
      <c r="C18" s="351" t="s">
        <v>77</v>
      </c>
      <c r="D18" s="352">
        <v>11.7</v>
      </c>
      <c r="E18" s="352">
        <v>10.6</v>
      </c>
      <c r="F18" s="352">
        <v>8.5</v>
      </c>
      <c r="G18" s="352">
        <v>6.3</v>
      </c>
    </row>
    <row r="19" spans="1:7">
      <c r="A19" s="350"/>
      <c r="B19" s="362" t="s">
        <v>56</v>
      </c>
      <c r="C19" s="370"/>
      <c r="D19" s="404"/>
      <c r="E19" s="404"/>
      <c r="F19" s="405"/>
      <c r="G19" s="365"/>
    </row>
    <row r="20" spans="1:7">
      <c r="A20" s="350"/>
      <c r="B20" s="363" t="s">
        <v>54</v>
      </c>
      <c r="C20" s="370"/>
      <c r="D20" s="366"/>
      <c r="E20" s="406"/>
      <c r="F20" s="407"/>
      <c r="G20" s="406"/>
    </row>
    <row r="21" spans="1:7">
      <c r="A21" s="350"/>
      <c r="B21" s="359" t="s">
        <v>57</v>
      </c>
      <c r="C21" s="370"/>
      <c r="D21" s="366"/>
      <c r="E21" s="406"/>
      <c r="F21" s="407"/>
      <c r="G21" s="406"/>
    </row>
    <row r="22" spans="1:7" ht="13.5" customHeight="1">
      <c r="A22" s="408"/>
      <c r="B22" s="364" t="s">
        <v>188</v>
      </c>
      <c r="C22" s="371" t="s">
        <v>61</v>
      </c>
      <c r="D22" s="409">
        <v>6356</v>
      </c>
      <c r="E22" s="406">
        <v>6840</v>
      </c>
      <c r="F22" s="407">
        <v>6850</v>
      </c>
      <c r="G22" s="406">
        <v>6860</v>
      </c>
    </row>
    <row r="23" spans="1:7" ht="13.5" customHeight="1">
      <c r="A23" s="408"/>
      <c r="B23" s="364" t="s">
        <v>226</v>
      </c>
      <c r="C23" s="371" t="s">
        <v>72</v>
      </c>
      <c r="D23" s="409" t="s">
        <v>177</v>
      </c>
      <c r="E23" s="406" t="s">
        <v>101</v>
      </c>
      <c r="F23" s="407" t="s">
        <v>102</v>
      </c>
      <c r="G23" s="406" t="s">
        <v>103</v>
      </c>
    </row>
    <row r="24" spans="1:7" ht="13.5" customHeight="1">
      <c r="A24" s="408"/>
      <c r="B24" s="364" t="s">
        <v>189</v>
      </c>
      <c r="C24" s="371" t="s">
        <v>200</v>
      </c>
      <c r="D24" s="413">
        <v>20541</v>
      </c>
      <c r="E24" s="406">
        <f>7310+10630</f>
        <v>17940</v>
      </c>
      <c r="F24" s="406">
        <f>7300+10600</f>
        <v>17900</v>
      </c>
      <c r="G24" s="406">
        <f>7300+10550</f>
        <v>17850</v>
      </c>
    </row>
    <row r="25" spans="1:7" ht="13.5" customHeight="1">
      <c r="A25" s="408"/>
      <c r="B25" s="364" t="s">
        <v>190</v>
      </c>
      <c r="C25" s="371" t="s">
        <v>142</v>
      </c>
      <c r="D25" s="409">
        <v>373</v>
      </c>
      <c r="E25" s="406">
        <v>480</v>
      </c>
      <c r="F25" s="407">
        <v>480</v>
      </c>
      <c r="G25" s="406">
        <v>480</v>
      </c>
    </row>
    <row r="26" spans="1:7" ht="13.5" customHeight="1">
      <c r="A26" s="350"/>
      <c r="B26" s="369" t="s">
        <v>191</v>
      </c>
      <c r="C26" s="371" t="s">
        <v>143</v>
      </c>
      <c r="D26" s="410">
        <v>8836</v>
      </c>
      <c r="E26" s="411">
        <v>7960</v>
      </c>
      <c r="F26" s="412">
        <v>8170</v>
      </c>
      <c r="G26" s="411">
        <v>8180</v>
      </c>
    </row>
    <row r="27" spans="1:7">
      <c r="A27" s="350"/>
      <c r="B27" s="414" t="s">
        <v>58</v>
      </c>
      <c r="C27" s="440"/>
      <c r="D27" s="366"/>
      <c r="E27" s="406"/>
      <c r="F27" s="407"/>
      <c r="G27" s="406"/>
    </row>
    <row r="28" spans="1:7">
      <c r="A28" s="408"/>
      <c r="B28" s="369" t="s">
        <v>104</v>
      </c>
      <c r="C28" s="415" t="s">
        <v>62</v>
      </c>
      <c r="D28" s="409">
        <v>7000</v>
      </c>
      <c r="E28" s="406">
        <v>4000</v>
      </c>
      <c r="F28" s="407">
        <v>4500</v>
      </c>
      <c r="G28" s="406">
        <v>5000</v>
      </c>
    </row>
    <row r="29" spans="1:7">
      <c r="A29" s="408"/>
      <c r="B29" s="369" t="s">
        <v>105</v>
      </c>
      <c r="C29" s="415" t="s">
        <v>100</v>
      </c>
      <c r="D29" s="409">
        <v>72</v>
      </c>
      <c r="E29" s="406">
        <v>120</v>
      </c>
      <c r="F29" s="407">
        <v>125</v>
      </c>
      <c r="G29" s="406">
        <v>120</v>
      </c>
    </row>
    <row r="30" spans="1:7" s="420" customFormat="1" ht="28.5" customHeight="1">
      <c r="A30" s="416"/>
      <c r="B30" s="417" t="s">
        <v>192</v>
      </c>
      <c r="C30" s="415" t="s">
        <v>193</v>
      </c>
      <c r="D30" s="355">
        <v>77.2</v>
      </c>
      <c r="E30" s="406">
        <v>77.2</v>
      </c>
      <c r="F30" s="418">
        <v>84.92</v>
      </c>
      <c r="G30" s="419">
        <v>84.92</v>
      </c>
    </row>
    <row r="31" spans="1:7">
      <c r="A31" s="442"/>
      <c r="B31" s="431" t="s">
        <v>178</v>
      </c>
      <c r="C31" s="432" t="s">
        <v>144</v>
      </c>
      <c r="D31" s="443">
        <v>140</v>
      </c>
      <c r="E31" s="444">
        <v>115</v>
      </c>
      <c r="F31" s="443">
        <v>120</v>
      </c>
      <c r="G31" s="444">
        <v>120</v>
      </c>
    </row>
    <row r="32" spans="1:7">
      <c r="A32" s="445"/>
      <c r="B32" s="446" t="s">
        <v>55</v>
      </c>
      <c r="C32" s="447"/>
      <c r="D32" s="448"/>
      <c r="E32" s="433"/>
      <c r="F32" s="434"/>
      <c r="G32" s="433"/>
    </row>
    <row r="33" spans="1:7">
      <c r="A33" s="350"/>
      <c r="B33" s="414" t="s">
        <v>57</v>
      </c>
      <c r="C33" s="370"/>
      <c r="D33" s="366"/>
      <c r="E33" s="406"/>
      <c r="F33" s="407"/>
      <c r="G33" s="406"/>
    </row>
    <row r="34" spans="1:7">
      <c r="A34" s="422"/>
      <c r="B34" s="423" t="s">
        <v>194</v>
      </c>
      <c r="C34" s="371" t="s">
        <v>63</v>
      </c>
      <c r="D34" s="351">
        <v>3</v>
      </c>
      <c r="E34" s="424">
        <v>5</v>
      </c>
      <c r="F34" s="424">
        <v>0</v>
      </c>
      <c r="G34" s="424">
        <v>1</v>
      </c>
    </row>
    <row r="35" spans="1:7">
      <c r="A35" s="422"/>
      <c r="B35" s="423" t="s">
        <v>197</v>
      </c>
      <c r="C35" s="371" t="s">
        <v>64</v>
      </c>
      <c r="D35" s="351">
        <v>1</v>
      </c>
      <c r="E35" s="424">
        <f>1+3</f>
        <v>4</v>
      </c>
      <c r="F35" s="424">
        <v>3</v>
      </c>
      <c r="G35" s="424"/>
    </row>
    <row r="36" spans="1:7">
      <c r="A36" s="422"/>
      <c r="B36" s="423" t="s">
        <v>196</v>
      </c>
      <c r="C36" s="371" t="s">
        <v>198</v>
      </c>
      <c r="D36" s="351">
        <v>1</v>
      </c>
      <c r="E36" s="441">
        <v>1</v>
      </c>
      <c r="F36" s="424">
        <v>1</v>
      </c>
      <c r="G36" s="424"/>
    </row>
    <row r="37" spans="1:7">
      <c r="A37" s="425"/>
      <c r="B37" s="372" t="s">
        <v>58</v>
      </c>
      <c r="C37" s="426"/>
      <c r="D37" s="373"/>
      <c r="E37" s="427"/>
      <c r="F37" s="373"/>
      <c r="G37" s="373"/>
    </row>
    <row r="38" spans="1:7">
      <c r="A38" s="408"/>
      <c r="B38" s="364" t="s">
        <v>227</v>
      </c>
      <c r="C38" s="371" t="s">
        <v>148</v>
      </c>
      <c r="D38" s="409">
        <v>1</v>
      </c>
      <c r="E38" s="406">
        <v>3</v>
      </c>
      <c r="F38" s="407">
        <v>3</v>
      </c>
      <c r="G38" s="406">
        <v>3</v>
      </c>
    </row>
    <row r="39" spans="1:7">
      <c r="A39" s="428"/>
      <c r="B39" s="369" t="s">
        <v>199</v>
      </c>
      <c r="C39" s="371" t="s">
        <v>149</v>
      </c>
      <c r="D39" s="366"/>
      <c r="E39" s="365">
        <v>1</v>
      </c>
      <c r="F39" s="366"/>
      <c r="G39" s="365"/>
    </row>
    <row r="40" spans="1:7">
      <c r="A40" s="428"/>
      <c r="B40" s="369" t="s">
        <v>139</v>
      </c>
      <c r="C40" s="371" t="s">
        <v>150</v>
      </c>
      <c r="D40" s="366"/>
      <c r="E40" s="406">
        <v>305</v>
      </c>
      <c r="F40" s="406">
        <v>330</v>
      </c>
      <c r="G40" s="406">
        <v>150</v>
      </c>
    </row>
    <row r="41" spans="1:7">
      <c r="A41" s="422"/>
      <c r="B41" s="372" t="s">
        <v>86</v>
      </c>
      <c r="C41" s="371"/>
      <c r="D41" s="351"/>
      <c r="E41" s="424"/>
      <c r="F41" s="424"/>
      <c r="G41" s="424"/>
    </row>
    <row r="42" spans="1:7">
      <c r="A42" s="428"/>
      <c r="B42" s="369" t="s">
        <v>106</v>
      </c>
      <c r="C42" s="415" t="s">
        <v>145</v>
      </c>
      <c r="D42" s="410">
        <v>7</v>
      </c>
      <c r="E42" s="421">
        <v>0</v>
      </c>
      <c r="F42" s="410">
        <v>6</v>
      </c>
      <c r="G42" s="365">
        <v>8</v>
      </c>
    </row>
    <row r="43" spans="1:7">
      <c r="A43" s="350"/>
      <c r="B43" s="429" t="s">
        <v>175</v>
      </c>
      <c r="C43" s="415" t="s">
        <v>146</v>
      </c>
      <c r="D43" s="410">
        <v>0.99</v>
      </c>
      <c r="E43" s="411">
        <v>0.99</v>
      </c>
      <c r="F43" s="412">
        <v>1.08</v>
      </c>
      <c r="G43" s="411">
        <v>1.08</v>
      </c>
    </row>
    <row r="44" spans="1:7">
      <c r="A44" s="430"/>
      <c r="B44" s="431" t="s">
        <v>176</v>
      </c>
      <c r="C44" s="432" t="s">
        <v>147</v>
      </c>
      <c r="D44" s="368">
        <v>576</v>
      </c>
      <c r="E44" s="367">
        <v>332</v>
      </c>
      <c r="F44" s="368">
        <v>350</v>
      </c>
      <c r="G44" s="367">
        <v>350</v>
      </c>
    </row>
    <row r="45" spans="1:7">
      <c r="B45" s="75"/>
      <c r="C45" s="75"/>
      <c r="D45" s="75"/>
    </row>
    <row r="46" spans="1:7">
      <c r="B46" s="75"/>
      <c r="C46" s="75"/>
      <c r="D46" s="75"/>
    </row>
    <row r="47" spans="1:7">
      <c r="B47" s="75"/>
      <c r="C47" s="75"/>
      <c r="D47" s="75"/>
    </row>
  </sheetData>
  <mergeCells count="7">
    <mergeCell ref="E7:E8"/>
    <mergeCell ref="F7:F8"/>
    <mergeCell ref="G7:G8"/>
    <mergeCell ref="A7:A8"/>
    <mergeCell ref="B7:B8"/>
    <mergeCell ref="C7:C8"/>
    <mergeCell ref="D7:D8"/>
  </mergeCells>
  <phoneticPr fontId="1" type="noConversion"/>
  <printOptions horizontalCentered="1"/>
  <pageMargins left="0.23622047244094491" right="0.23622047244094491" top="0.94488188976377963" bottom="0.74803149606299213" header="0.31496062992125984" footer="0.31496062992125984"/>
  <pageSetup paperSize="9" fitToHeight="0" orientation="landscape" r:id="rId1"/>
  <headerFooter alignWithMargins="0"/>
  <colBreaks count="1" manualBreakCount="1">
    <brk id="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1 lentelė</vt:lpstr>
      <vt:lpstr>bendras lesu poreikis</vt:lpstr>
      <vt:lpstr>vertinimo kriterijai</vt:lpstr>
      <vt:lpstr>'vertinimo kriterijai'!Print_Area</vt:lpstr>
      <vt:lpstr>'1 lentelė'!Print_Titles</vt:lpstr>
      <vt:lpstr>'vertinimo kriterijai'!Print_Titles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G.Uzkuriene</dc:creator>
  <cp:lastModifiedBy>Snieguole Kacerauskaite</cp:lastModifiedBy>
  <cp:lastPrinted>2012-11-30T12:12:11Z</cp:lastPrinted>
  <dcterms:created xsi:type="dcterms:W3CDTF">2006-05-12T05:50:12Z</dcterms:created>
  <dcterms:modified xsi:type="dcterms:W3CDTF">2012-11-30T12:12:18Z</dcterms:modified>
</cp:coreProperties>
</file>