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480" windowHeight="11640"/>
  </bookViews>
  <sheets>
    <sheet name="1 lentelė" sheetId="1" r:id="rId1"/>
    <sheet name="bendras lėšų poreikis " sheetId="2" r:id="rId2"/>
    <sheet name="vertinimo kriterijai" sheetId="4" r:id="rId3"/>
  </sheets>
  <definedNames>
    <definedName name="_xlnm.Print_Titles" localSheetId="0">'1 lentelė'!$5:$7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S37" i="1" l="1"/>
  <c r="R32" i="1"/>
  <c r="Q32" i="1" s="1"/>
  <c r="S32" i="1"/>
  <c r="Q34" i="1"/>
  <c r="Q31" i="1"/>
  <c r="R35" i="1" l="1"/>
  <c r="R37" i="1" s="1"/>
  <c r="Q37" i="1" s="1"/>
  <c r="U56" i="1"/>
  <c r="E26" i="2" s="1"/>
  <c r="U55" i="1"/>
  <c r="T56" i="1"/>
  <c r="T57" i="1" s="1"/>
  <c r="Q57" i="1" s="1"/>
  <c r="T55" i="1"/>
  <c r="F28" i="4"/>
  <c r="E21" i="4"/>
  <c r="E20" i="4"/>
  <c r="R17" i="1"/>
  <c r="S17" i="1"/>
  <c r="S19" i="1" s="1"/>
  <c r="R20" i="1"/>
  <c r="Q20" i="1"/>
  <c r="Q22" i="1" s="1"/>
  <c r="S20" i="1"/>
  <c r="S22" i="1"/>
  <c r="R23" i="1"/>
  <c r="S23" i="1"/>
  <c r="S25" i="1" s="1"/>
  <c r="S28" i="1" s="1"/>
  <c r="Q24" i="1"/>
  <c r="Q21" i="1"/>
  <c r="Q18" i="1"/>
  <c r="R16" i="1"/>
  <c r="Q14" i="1"/>
  <c r="D17" i="2" s="1"/>
  <c r="Q15" i="1"/>
  <c r="Q56" i="1"/>
  <c r="T54" i="1"/>
  <c r="Q52" i="1"/>
  <c r="Q55" i="1"/>
  <c r="T51" i="1"/>
  <c r="Q51" i="1" s="1"/>
  <c r="Q48" i="1"/>
  <c r="Q50" i="1"/>
  <c r="Q36" i="1"/>
  <c r="Q35" i="1"/>
  <c r="Q72" i="1" s="1"/>
  <c r="D18" i="2" s="1"/>
  <c r="Q30" i="1"/>
  <c r="Q13" i="1"/>
  <c r="Q77" i="1"/>
  <c r="D23" i="2" s="1"/>
  <c r="Q75" i="1"/>
  <c r="D21" i="2" s="1"/>
  <c r="R25" i="1"/>
  <c r="Q25" i="1" s="1"/>
  <c r="Q23" i="1"/>
  <c r="R22" i="1"/>
  <c r="R19" i="1"/>
  <c r="Q19" i="1" s="1"/>
  <c r="Q17" i="1"/>
  <c r="Q69" i="1" s="1"/>
  <c r="D15" i="2" s="1"/>
  <c r="Q12" i="1"/>
  <c r="Q16" i="1"/>
  <c r="T47" i="1"/>
  <c r="Q47" i="1"/>
  <c r="Q74" i="1"/>
  <c r="D20" i="2" s="1"/>
  <c r="F26" i="2"/>
  <c r="V16" i="1"/>
  <c r="F20" i="2"/>
  <c r="E20" i="2"/>
  <c r="V47" i="1"/>
  <c r="V60" i="1" s="1"/>
  <c r="U47" i="1"/>
  <c r="F25" i="2"/>
  <c r="F24" i="2"/>
  <c r="F23" i="2"/>
  <c r="F19" i="2"/>
  <c r="F18" i="2"/>
  <c r="F16" i="2"/>
  <c r="F15" i="2"/>
  <c r="U37" i="1"/>
  <c r="U16" i="1"/>
  <c r="P47" i="1"/>
  <c r="M47" i="1" s="1"/>
  <c r="I80" i="1"/>
  <c r="J47" i="1"/>
  <c r="M45" i="1"/>
  <c r="I46" i="1"/>
  <c r="N47" i="1"/>
  <c r="N60" i="1"/>
  <c r="M46" i="1"/>
  <c r="M43" i="1"/>
  <c r="M74" i="1" s="1"/>
  <c r="C20" i="2" s="1"/>
  <c r="I49" i="1"/>
  <c r="I26" i="1"/>
  <c r="S60" i="1"/>
  <c r="R60" i="1"/>
  <c r="O60" i="1"/>
  <c r="K60" i="1"/>
  <c r="U57" i="1"/>
  <c r="U60" i="1" s="1"/>
  <c r="U25" i="1"/>
  <c r="U22" i="1"/>
  <c r="U28" i="1"/>
  <c r="U19" i="1"/>
  <c r="E15" i="2"/>
  <c r="E16" i="2"/>
  <c r="E18" i="2"/>
  <c r="E19" i="2"/>
  <c r="E21" i="2"/>
  <c r="E23" i="2"/>
  <c r="E24" i="2"/>
  <c r="E25" i="2"/>
  <c r="F17" i="2"/>
  <c r="Q70" i="1"/>
  <c r="D16" i="2" s="1"/>
  <c r="Q71" i="1"/>
  <c r="Q73" i="1"/>
  <c r="D19" i="2" s="1"/>
  <c r="Q78" i="1"/>
  <c r="D24" i="2" s="1"/>
  <c r="Q79" i="1"/>
  <c r="D25" i="2" s="1"/>
  <c r="M52" i="1"/>
  <c r="M56" i="1"/>
  <c r="M15" i="1"/>
  <c r="M18" i="1"/>
  <c r="M21" i="1"/>
  <c r="M24" i="1"/>
  <c r="M48" i="1"/>
  <c r="M30" i="1"/>
  <c r="M32" i="1" s="1"/>
  <c r="M36" i="1"/>
  <c r="M35" i="1"/>
  <c r="M12" i="1"/>
  <c r="M17" i="1"/>
  <c r="M20" i="1"/>
  <c r="M22" i="1" s="1"/>
  <c r="M23" i="1"/>
  <c r="M14" i="1"/>
  <c r="M13" i="1"/>
  <c r="M70" i="1"/>
  <c r="C16" i="2" s="1"/>
  <c r="I14" i="1"/>
  <c r="I71" i="1" s="1"/>
  <c r="B17" i="2"/>
  <c r="I12" i="1"/>
  <c r="I17" i="1"/>
  <c r="I20" i="1"/>
  <c r="I23" i="1"/>
  <c r="I27" i="1"/>
  <c r="I38" i="1"/>
  <c r="I39" i="1" s="1"/>
  <c r="I35" i="1"/>
  <c r="I72" i="1" s="1"/>
  <c r="B18" i="2" s="1"/>
  <c r="I30" i="1"/>
  <c r="I32" i="1" s="1"/>
  <c r="I40" i="1" s="1"/>
  <c r="I36" i="1"/>
  <c r="I53" i="1"/>
  <c r="I54" i="1" s="1"/>
  <c r="I50" i="1"/>
  <c r="I77" i="1" s="1"/>
  <c r="I24" i="1"/>
  <c r="I48" i="1"/>
  <c r="I15" i="1"/>
  <c r="I18" i="1"/>
  <c r="I21" i="1"/>
  <c r="I22" i="1" s="1"/>
  <c r="I33" i="1"/>
  <c r="I37" i="1" s="1"/>
  <c r="B26" i="2"/>
  <c r="M50" i="1"/>
  <c r="L51" i="1"/>
  <c r="J27" i="1"/>
  <c r="I58" i="1"/>
  <c r="I59" i="1"/>
  <c r="L59" i="1"/>
  <c r="L54" i="1"/>
  <c r="L60" i="1" s="1"/>
  <c r="M55" i="1"/>
  <c r="M57" i="1" s="1"/>
  <c r="P57" i="1"/>
  <c r="P54" i="1"/>
  <c r="P51" i="1"/>
  <c r="J37" i="1"/>
  <c r="J32" i="1"/>
  <c r="J39" i="1"/>
  <c r="K37" i="1"/>
  <c r="K32" i="1"/>
  <c r="K40" i="1"/>
  <c r="N37" i="1"/>
  <c r="N32" i="1"/>
  <c r="N40" i="1" s="1"/>
  <c r="O37" i="1"/>
  <c r="O32" i="1"/>
  <c r="O40" i="1" s="1"/>
  <c r="P32" i="1"/>
  <c r="P40" i="1" s="1"/>
  <c r="S40" i="1"/>
  <c r="T40" i="1"/>
  <c r="U32" i="1"/>
  <c r="U39" i="1"/>
  <c r="U40" i="1"/>
  <c r="V37" i="1"/>
  <c r="V32" i="1"/>
  <c r="V40" i="1"/>
  <c r="V39" i="1"/>
  <c r="M75" i="1"/>
  <c r="C21" i="2" s="1"/>
  <c r="N25" i="1"/>
  <c r="N22" i="1"/>
  <c r="N19" i="1"/>
  <c r="N16" i="1"/>
  <c r="O25" i="1"/>
  <c r="O22" i="1"/>
  <c r="O28" i="1" s="1"/>
  <c r="O19" i="1"/>
  <c r="J25" i="1"/>
  <c r="K25" i="1"/>
  <c r="L25" i="1"/>
  <c r="L28" i="1" s="1"/>
  <c r="K19" i="1"/>
  <c r="K28" i="1" s="1"/>
  <c r="K22" i="1"/>
  <c r="J19" i="1"/>
  <c r="J22" i="1"/>
  <c r="V22" i="1"/>
  <c r="V25" i="1"/>
  <c r="V19" i="1"/>
  <c r="I73" i="1"/>
  <c r="B19" i="2" s="1"/>
  <c r="M54" i="1"/>
  <c r="M73" i="1"/>
  <c r="C19" i="2" s="1"/>
  <c r="M78" i="1"/>
  <c r="C24" i="2" s="1"/>
  <c r="M79" i="1"/>
  <c r="C25" i="2" s="1"/>
  <c r="J40" i="1"/>
  <c r="I13" i="1"/>
  <c r="I70" i="1"/>
  <c r="B16" i="2" s="1"/>
  <c r="J16" i="1"/>
  <c r="M25" i="1"/>
  <c r="I25" i="1"/>
  <c r="K61" i="1"/>
  <c r="K62" i="1" s="1"/>
  <c r="B10" i="2"/>
  <c r="I19" i="1"/>
  <c r="I75" i="1"/>
  <c r="B21" i="2" s="1"/>
  <c r="I51" i="1"/>
  <c r="B23" i="2"/>
  <c r="T60" i="1"/>
  <c r="T61" i="1" s="1"/>
  <c r="T62" i="1" s="1"/>
  <c r="D11" i="2" s="1"/>
  <c r="Q60" i="1"/>
  <c r="O61" i="1" l="1"/>
  <c r="O62" i="1" s="1"/>
  <c r="C10" i="2" s="1"/>
  <c r="J28" i="1"/>
  <c r="I28" i="1" s="1"/>
  <c r="I78" i="1"/>
  <c r="B24" i="2" s="1"/>
  <c r="U61" i="1"/>
  <c r="U62" i="1" s="1"/>
  <c r="E8" i="2" s="1"/>
  <c r="M80" i="1"/>
  <c r="C26" i="2" s="1"/>
  <c r="V28" i="1"/>
  <c r="V61" i="1" s="1"/>
  <c r="V62" i="1" s="1"/>
  <c r="F8" i="2" s="1"/>
  <c r="F14" i="2"/>
  <c r="F13" i="2" s="1"/>
  <c r="F22" i="2"/>
  <c r="E22" i="2"/>
  <c r="N28" i="1"/>
  <c r="N61" i="1" s="1"/>
  <c r="N62" i="1" s="1"/>
  <c r="C9" i="2" s="1"/>
  <c r="I79" i="1"/>
  <c r="I69" i="1"/>
  <c r="M19" i="1"/>
  <c r="M69" i="1"/>
  <c r="S61" i="1"/>
  <c r="S62" i="1" s="1"/>
  <c r="D10" i="2" s="1"/>
  <c r="I74" i="1"/>
  <c r="B20" i="2" s="1"/>
  <c r="D14" i="2"/>
  <c r="D13" i="2" s="1"/>
  <c r="Q40" i="1"/>
  <c r="R40" i="1"/>
  <c r="I16" i="1"/>
  <c r="P60" i="1"/>
  <c r="P61" i="1" s="1"/>
  <c r="P62" i="1" s="1"/>
  <c r="C11" i="2" s="1"/>
  <c r="L61" i="1"/>
  <c r="L62" i="1" s="1"/>
  <c r="B11" i="2" s="1"/>
  <c r="M77" i="1"/>
  <c r="M71" i="1"/>
  <c r="C17" i="2" s="1"/>
  <c r="M16" i="1"/>
  <c r="M37" i="1"/>
  <c r="M40" i="1" s="1"/>
  <c r="M72" i="1"/>
  <c r="C18" i="2" s="1"/>
  <c r="M51" i="1"/>
  <c r="M60" i="1"/>
  <c r="J60" i="1"/>
  <c r="I47" i="1"/>
  <c r="R28" i="1"/>
  <c r="Q28" i="1" s="1"/>
  <c r="Q80" i="1"/>
  <c r="D26" i="2" s="1"/>
  <c r="D22" i="2" s="1"/>
  <c r="Q54" i="1"/>
  <c r="E14" i="2"/>
  <c r="E13" i="2" s="1"/>
  <c r="E12" i="2" s="1"/>
  <c r="Q68" i="1"/>
  <c r="Q67" i="1" s="1"/>
  <c r="D12" i="2" l="1"/>
  <c r="Q61" i="1"/>
  <c r="Q62" i="1" s="1"/>
  <c r="Q76" i="1"/>
  <c r="Q81" i="1" s="1"/>
  <c r="F12" i="2"/>
  <c r="M76" i="1"/>
  <c r="C23" i="2"/>
  <c r="C22" i="2" s="1"/>
  <c r="J61" i="1"/>
  <c r="J62" i="1" s="1"/>
  <c r="B9" i="2" s="1"/>
  <c r="B8" i="2" s="1"/>
  <c r="I60" i="1"/>
  <c r="I61" i="1" s="1"/>
  <c r="I62" i="1" s="1"/>
  <c r="R61" i="1"/>
  <c r="R62" i="1" s="1"/>
  <c r="D9" i="2" s="1"/>
  <c r="D8" i="2" s="1"/>
  <c r="M28" i="1"/>
  <c r="M61" i="1" s="1"/>
  <c r="M62" i="1" s="1"/>
  <c r="I76" i="1"/>
  <c r="B25" i="2"/>
  <c r="B22" i="2" s="1"/>
  <c r="M68" i="1"/>
  <c r="M67" i="1" s="1"/>
  <c r="C15" i="2"/>
  <c r="C14" i="2" s="1"/>
  <c r="C13" i="2" s="1"/>
  <c r="C12" i="2" s="1"/>
  <c r="I68" i="1"/>
  <c r="I67" i="1" s="1"/>
  <c r="B15" i="2"/>
  <c r="B14" i="2" s="1"/>
  <c r="B13" i="2" s="1"/>
  <c r="C8" i="2"/>
  <c r="I81" i="1" l="1"/>
  <c r="M81" i="1"/>
  <c r="B12" i="2"/>
</calcChain>
</file>

<file path=xl/comments1.xml><?xml version="1.0" encoding="utf-8"?>
<comments xmlns="http://schemas.openxmlformats.org/spreadsheetml/2006/main">
  <authors>
    <author>Snieguole Kacerauskaite</author>
  </authors>
  <commentList>
    <comment ref="D28" authorId="0">
      <text>
        <r>
          <rPr>
            <sz val="9"/>
            <color indexed="81"/>
            <rFont val="Tahoma"/>
            <family val="2"/>
            <charset val="186"/>
          </rPr>
          <t xml:space="preserve">VšĮ Klaipėdos vaikų ligoninės lifto keitimas (K. Donelaičio g.  9) 
</t>
        </r>
      </text>
    </comment>
    <comment ref="F28" authorId="0">
      <text>
        <r>
          <rPr>
            <sz val="9"/>
            <color indexed="81"/>
            <rFont val="Tahoma"/>
            <family val="2"/>
            <charset val="186"/>
          </rPr>
          <t xml:space="preserve">Keleivinio lifto įrengimas 1) Klaipėdos sveikatos priežiūros centro 1-jame padalinyje (Pievų tako g. 38),
2) VšĮ Klaipėdos miesto stomatologijos poliklinikos pastato renovacija
</t>
        </r>
      </text>
    </comment>
    <comment ref="G28" authorId="0">
      <text>
        <r>
          <rPr>
            <sz val="9"/>
            <color indexed="81"/>
            <rFont val="Tahoma"/>
            <family val="2"/>
            <charset val="186"/>
          </rPr>
          <t>VšĮ Klaipėdos sveikatos priežiūros centras -pastato, adresu Taikos pr. 76, šilumos centro remontas ir lauko sienų apšiltinimas</t>
        </r>
      </text>
    </comment>
  </commentList>
</comments>
</file>

<file path=xl/sharedStrings.xml><?xml version="1.0" encoding="utf-8"?>
<sst xmlns="http://schemas.openxmlformats.org/spreadsheetml/2006/main" count="307" uniqueCount="174">
  <si>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</si>
  <si>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</si>
  <si>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</si>
  <si>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</si>
  <si>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</si>
  <si>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</si>
  <si>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</si>
  <si>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</si>
  <si>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</si>
  <si>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</si>
  <si>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</si>
  <si>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</si>
  <si>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</si>
  <si>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</si>
  <si>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</si>
  <si>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</si>
  <si>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Ekonominės klasifikacijos grupės</t>
  </si>
  <si>
    <t>1.2. turtui įsigyti ir finansiniams įsipareigojimams vykdyti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</si>
  <si>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</si>
  <si>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</si>
  <si>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</si>
  <si>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</si>
  <si>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</si>
  <si>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</si>
  <si>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1. IŠ VISO LĖŠŲ POREIKIS:</t>
  </si>
  <si>
    <t>2.2. KITI ŠALTINIAI, IŠ VISO:</t>
  </si>
  <si>
    <t>2.1. SAVIVALDYBĖS  LĖŠOS, IŠ VISO:</t>
  </si>
  <si>
    <t>2. FINANSAVIMO ŠALTINIAI:</t>
  </si>
  <si>
    <t>2.1.2. Savivaldybės privatizavimo fondo lėšos PF</t>
  </si>
  <si>
    <t>Turtui įsigyti ir finansiniams įsipareigojimams vykdyti</t>
  </si>
  <si>
    <t>1.1. išlaidoms, iš jų:</t>
  </si>
  <si>
    <t>1.1.1. darbo užmokesčiui</t>
  </si>
  <si>
    <t>Klaipėdos miesto savivaldybės visuomenės sveikatos rėmimo specialiosios programos įgyvendinimas prioritetinėse srityse</t>
  </si>
  <si>
    <t>07</t>
  </si>
  <si>
    <t>SB</t>
  </si>
  <si>
    <t>SB(AA)</t>
  </si>
  <si>
    <t>PSDF</t>
  </si>
  <si>
    <t>Sveikatos priežiūros stiprinimo, ugdymo ir profilaktinės veiklos įgyvendinimas  Klaipėdos miesto savivaldybės mokyklose-darželiuose, nevalstybinėse (privačiai įsteigtose) ir profesinėse mokyklose</t>
  </si>
  <si>
    <t>Klaipėdos miesto gyventojų sveikatos priežiūros paslaugų rėmimas</t>
  </si>
  <si>
    <t>ES</t>
  </si>
  <si>
    <t>03</t>
  </si>
  <si>
    <t>04</t>
  </si>
  <si>
    <t>PF</t>
  </si>
  <si>
    <t>LRVB</t>
  </si>
  <si>
    <t>13</t>
  </si>
  <si>
    <t xml:space="preserve">Programos (Nr. 13)  lėšų  poreikis ir numatomi finansavimo šaltiniai       </t>
  </si>
  <si>
    <t>VERTINIMO KRITERIJŲ SUVESTINĖ</t>
  </si>
  <si>
    <t>2 lentelė</t>
  </si>
  <si>
    <t xml:space="preserve">Kodas </t>
  </si>
  <si>
    <t>(Savivaldybės strateginio tikslo pavadinimas)</t>
  </si>
  <si>
    <t>(Programos, skirtos šiam strateginiam tikslui įgyvendinti, pavadinimas)</t>
  </si>
  <si>
    <t>Vertinimo kriterijus</t>
  </si>
  <si>
    <t>Vertinimo kriterijaus kodas</t>
  </si>
  <si>
    <t>2012-ųjų metų planas</t>
  </si>
  <si>
    <t>Rezultato:</t>
  </si>
  <si>
    <t>1-ajam programos tikslui</t>
  </si>
  <si>
    <t>13-15</t>
  </si>
  <si>
    <t>Produkto:</t>
  </si>
  <si>
    <t>1-ajam uždaviniui</t>
  </si>
  <si>
    <t>P-13-01-01-01</t>
  </si>
  <si>
    <t>P-13-01-01-02</t>
  </si>
  <si>
    <t>2-ajam uždaviniui</t>
  </si>
  <si>
    <t>03.13</t>
  </si>
  <si>
    <t>I</t>
  </si>
  <si>
    <t>Kt</t>
  </si>
  <si>
    <t xml:space="preserve">I  </t>
  </si>
  <si>
    <t>UŽTIKRINTI GYVENTOJAMS AUKŠTĄ ŠVIETIMO, KULTŪROS, SOCIALINIŲ,  SPORTO IR SVEIKATOS APSAUGOS PASLAUGŲ KOKYBĘ IR PRIEINAMUMĄ</t>
  </si>
  <si>
    <t>Įgyvendinamas įstaigos strateginio tikslo kodas, programos kodas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</si>
  <si>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</si>
  <si>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</si>
  <si>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r>
      <t xml:space="preserve">2.2.1. Europos Sąjungos paramos lėšos </t>
    </r>
    <r>
      <rPr>
        <b/>
        <sz val="10"/>
        <rFont val="Times New Roman"/>
        <family val="1"/>
      </rPr>
      <t>ES</t>
    </r>
  </si>
  <si>
    <t>Užtikrinti visuomenės sveikatos priežiūros paslaugų teikimą</t>
  </si>
  <si>
    <t>2.1.1. savivaldybės biudžetas, iš jo:</t>
  </si>
  <si>
    <r>
      <t xml:space="preserve">2.1.1.1.  savivaldybės biudžeto lėšos </t>
    </r>
    <r>
      <rPr>
        <b/>
        <sz val="10"/>
        <rFont val="Times New Roman"/>
        <family val="1"/>
      </rPr>
      <t>SB</t>
    </r>
  </si>
  <si>
    <r>
      <t xml:space="preserve">2.1.1.5.  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</si>
  <si>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2.2.2. valstybės biudžeto lėšos </t>
    </r>
    <r>
      <rPr>
        <b/>
        <sz val="10"/>
        <rFont val="Times New Roman"/>
        <family val="1"/>
      </rPr>
      <t>LRVB</t>
    </r>
  </si>
  <si>
    <t>Sveikatos priežiūros stiprinimo, ugdymo ir profilaktinės veiklos įgyvendinimas  Klaipėdos miesto savivaldybės bendrojo lavinimo mokyklose</t>
  </si>
  <si>
    <t>BĮ Klaipėdos miesto visuomenės sveikatos biuro veiklos organizavimas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</si>
  <si>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</si>
  <si>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</si>
  <si>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</si>
  <si>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</si>
  <si>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t>Savivaldybės biudžetas, iš jo:</t>
  </si>
  <si>
    <t>05</t>
  </si>
  <si>
    <t>Projektas 2013-iesiems metams</t>
  </si>
  <si>
    <t xml:space="preserve"> P4.3.2.1</t>
  </si>
  <si>
    <t>P4.3.1.2</t>
  </si>
  <si>
    <t>2013-ųjų metų planas</t>
  </si>
  <si>
    <t>2. Ugdymo įstaigų, kuriose vykdoma vaikų sveikatos priežiūra, skaičius</t>
  </si>
  <si>
    <t>P-13-01-01-03</t>
  </si>
  <si>
    <t>3-ajam uždaviniui</t>
  </si>
  <si>
    <t>R-13-01-01</t>
  </si>
  <si>
    <t>R-13-01-02</t>
  </si>
  <si>
    <t>R-13-01-03</t>
  </si>
  <si>
    <r>
      <t xml:space="preserve">2.2.5. kiti finansavimo šaltiniai </t>
    </r>
    <r>
      <rPr>
        <b/>
        <sz val="10"/>
        <rFont val="Times New Roman"/>
        <family val="1"/>
      </rPr>
      <t>Kt</t>
    </r>
  </si>
  <si>
    <t>Projekto „Tiltas į geresnę visuomenės sveikatą“ įgyvendinimas</t>
  </si>
  <si>
    <t xml:space="preserve">VšĮ Klaipėdos vaikų ligoninės lifto keitimas (K. Donelaičio g.  9) </t>
  </si>
  <si>
    <r>
      <t xml:space="preserve">Funkcinės klasifikacijos kodas </t>
    </r>
    <r>
      <rPr>
        <b/>
        <sz val="10"/>
        <rFont val="Times New Roman"/>
        <family val="1"/>
      </rPr>
      <t xml:space="preserve"> 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</si>
  <si>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</si>
  <si>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</si>
  <si>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Savivaldybės privatizavimo fondo lėšos </t>
    </r>
    <r>
      <rPr>
        <b/>
        <sz val="10"/>
        <rFont val="Times New Roman"/>
        <family val="1"/>
      </rPr>
      <t>PF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</si>
  <si>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</si>
  <si>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</si>
  <si>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</si>
  <si>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3</t>
  </si>
  <si>
    <t>5</t>
  </si>
  <si>
    <r>
      <t xml:space="preserve"> 2.1.1.4. pajamų įmokos už paslaugas  </t>
    </r>
    <r>
      <rPr>
        <b/>
        <sz val="10"/>
        <rFont val="Times New Roman"/>
        <family val="1"/>
      </rPr>
      <t>SB(SP)</t>
    </r>
  </si>
  <si>
    <t>Asignavimai 2011-iesiems metams</t>
  </si>
  <si>
    <t>Asignavimų poreikis biudžetiniams 2012-iesiems metams</t>
  </si>
  <si>
    <r>
      <t xml:space="preserve">Privalomojo sveikatos draudimo fondo lėšos </t>
    </r>
    <r>
      <rPr>
        <b/>
        <sz val="10"/>
        <rFont val="Times New Roman"/>
        <family val="1"/>
      </rPr>
      <t>PSDF</t>
    </r>
  </si>
  <si>
    <t>2012-ųjų metų asignavimų planas</t>
  </si>
  <si>
    <t>Projektas 2014-iesiems metams</t>
  </si>
  <si>
    <t>VšĮ Klaipėdos universitetinės ligoninės centrinio korpuso operacinių rekonstrukcija</t>
  </si>
  <si>
    <t>Lėšų poreikis biudžetiniams 2012-iesiems metams</t>
  </si>
  <si>
    <t xml:space="preserve"> </t>
  </si>
  <si>
    <t>Stiprinti ir kryptingai plėtoti asmens ir visuomenės sveikatos priežiūros paslaugas</t>
  </si>
  <si>
    <r>
      <t xml:space="preserve">Specialiosios tikslinės dotacijos iš apkričių perduotoms įstaigoms išlaikyti lėšos </t>
    </r>
    <r>
      <rPr>
        <b/>
        <sz val="10"/>
        <rFont val="Times New Roman"/>
        <family val="1"/>
      </rPr>
      <t>SB(VB)</t>
    </r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</si>
  <si>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</si>
  <si>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</si>
  <si>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</si>
  <si>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2013-ųjų metų lėšų poreikis</t>
  </si>
  <si>
    <t>2014-ųjų metų lėšų poreikis</t>
  </si>
  <si>
    <t>1 lentelė</t>
  </si>
  <si>
    <t>Užtikrinti asmens sveikatos priežiūros paslaugų teikimą</t>
  </si>
  <si>
    <t>Sveikatos priežiūros įstaigų infrastruktūros tobulinimas:</t>
  </si>
  <si>
    <t>1 lentelės tęsinys</t>
  </si>
  <si>
    <t>6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</si>
  <si>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</si>
  <si>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</si>
  <si>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2.1.1.6. paskolos lėšos </t>
    </r>
    <r>
      <rPr>
        <b/>
        <sz val="10"/>
        <rFont val="Times New Roman"/>
        <family val="1"/>
        <charset val="186"/>
      </rPr>
      <t>SB(P)</t>
    </r>
  </si>
  <si>
    <t xml:space="preserve">BĮ Priklausomybės ligų centro pastato fasado (Taikos pr. 46) einamasis  remontas </t>
  </si>
  <si>
    <t>10-12</t>
  </si>
  <si>
    <t>1. Apgyvendintų vaikų skaičius Klaipėdos sutrikusio vystymosi kūdikių namuose</t>
  </si>
  <si>
    <t>2. Lovadienių skaičius Klaipėdos sutrikusio vystymosi kūdikių namuose</t>
  </si>
  <si>
    <t>3. Apsilankymų Priklausomybės ligų centro ambulatorijoje skaičius</t>
  </si>
  <si>
    <t xml:space="preserve">4. Hospitalizacijų skaičius Priklausomybės ligų centre </t>
  </si>
  <si>
    <t>P-13-01-02-01</t>
  </si>
  <si>
    <t>P-13-01-02-02</t>
  </si>
  <si>
    <t>P-13-01-02-03</t>
  </si>
  <si>
    <t>P-13-01-02-04</t>
  </si>
  <si>
    <t>P-13-01-03-01</t>
  </si>
  <si>
    <t>P4.3.3.1</t>
  </si>
  <si>
    <t xml:space="preserve"> P4.3.2.3</t>
  </si>
  <si>
    <t>2014-ųjų metų planas</t>
  </si>
  <si>
    <r>
      <t xml:space="preserve"> </t>
    </r>
    <r>
      <rPr>
        <sz val="10"/>
        <rFont val="Times New Roman"/>
        <family val="1"/>
        <charset val="186"/>
      </rPr>
      <t>TIKSLŲ,</t>
    </r>
    <r>
      <rPr>
        <sz val="10"/>
        <rFont val="Times New Roman"/>
        <family val="1"/>
      </rPr>
      <t xml:space="preserve"> UŽDAVINIŲ, PRIEMONIŲ IR PRIEMONIŲ IŠLAIDŲ SUVESTINĖ</t>
    </r>
  </si>
  <si>
    <t>2010-ųjų metų faktas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</si>
  <si>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9-12
30-32
10-15</t>
  </si>
  <si>
    <t xml:space="preserve">                                        10-12                  27-30                         11-15</t>
  </si>
  <si>
    <t xml:space="preserve">                                        10-14                  30-35                         15-20</t>
  </si>
  <si>
    <t xml:space="preserve">                                       6,1                 22,2                         2,5</t>
  </si>
  <si>
    <t>3. Bendrojo ugdymo mokyklų, kuriose vykdoma mokinių sveikatos priežiūra, skaičius</t>
  </si>
  <si>
    <t>1. Asmenų, dalyvavusių Visuomenės sveikatos rėmimo specialiosios programos įgyvendinimo programoje, skaičius</t>
  </si>
  <si>
    <r>
      <t xml:space="preserve"> </t>
    </r>
    <r>
      <rPr>
        <sz val="10"/>
        <rFont val="Times New Roman"/>
        <family val="1"/>
        <charset val="186"/>
      </rPr>
      <t>2011–2014</t>
    </r>
    <r>
      <rPr>
        <sz val="10"/>
        <rFont val="Times New Roman"/>
        <family val="1"/>
      </rPr>
      <t xml:space="preserve"> METŲ KLAIPĖDOS MIESTO SAVIVALDYBĖS 
</t>
    </r>
    <r>
      <rPr>
        <b/>
        <sz val="10"/>
        <rFont val="Times New Roman"/>
        <family val="1"/>
        <charset val="186"/>
      </rPr>
      <t>SVEIKATOS APSAUGOS PROGRAMOS (NR. 13)</t>
    </r>
    <r>
      <rPr>
        <sz val="10"/>
        <rFont val="Times New Roman"/>
        <family val="1"/>
      </rPr>
      <t xml:space="preserve">
</t>
    </r>
  </si>
  <si>
    <t>n.d.</t>
  </si>
  <si>
    <t>augantis</t>
  </si>
  <si>
    <t>R-13-01-04</t>
  </si>
  <si>
    <t>R-13-01-05</t>
  </si>
  <si>
    <t>1. Klaipėdiečių mankštinimosi bendras dažnis, proc.</t>
  </si>
  <si>
    <t>2. Visų laisvalaikiu besimankštinančių asmenų dalis, proc.</t>
  </si>
  <si>
    <t>3. Vaikų, kuriems silantuoti dantys, procentas</t>
  </si>
  <si>
    <t xml:space="preserve">4. Vaikų procentas nuo apsilankiusiųjų ambulatorinėse sveikatos priežiūros įstaigose, kuriems nustatyta:
- skoliozė;
- regos sutrikimai;
- nenormali laikysena
</t>
  </si>
  <si>
    <t>5. Vienam gyventojui vidutiniškai tenkantis apsilankymų skaičius poliklinikose ir ambulatorijose sk./per metus</t>
  </si>
  <si>
    <t>1. Modernizuota sveikatos priežiūros įstaigų, skaičius</t>
  </si>
  <si>
    <t>13 Sveikatos apsaugos programa</t>
  </si>
  <si>
    <t>Keleivinio lifto įrengimas Klaipėdos sveikatos priežiūros centro 1-ajame padalinyje (Pievų Tako g. 38)</t>
  </si>
  <si>
    <t>Projekto „Pastato, adresu Taikos pr. 76, remontas (šilumos centro remontas ir lauko sienų apšiltinimas)“ įgyvendinimas</t>
  </si>
  <si>
    <r>
      <t>Projekto „</t>
    </r>
    <r>
      <rPr>
        <b/>
        <sz val="10"/>
        <rFont val="Times New Roman"/>
        <family val="1"/>
      </rPr>
      <t xml:space="preserve">Pastato III aukšto patalpų kapitalinis remontas, pritaikant BĮ Klaipėdos visuomenės sveikatos biurui (Taikos pr. 76)“ </t>
    </r>
    <r>
      <rPr>
        <sz val="10"/>
        <rFont val="Times New Roman"/>
        <family val="1"/>
        <charset val="186"/>
      </rPr>
      <t>įgyvendinimas</t>
    </r>
  </si>
  <si>
    <r>
      <t xml:space="preserve">2.1.1.2.  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</si>
  <si>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 2.1.1.3. Savivaldybės aplinkos apsaugos rėmimo specialiosios programos lėšų likutis </t>
    </r>
    <r>
      <rPr>
        <b/>
        <sz val="10"/>
        <rFont val="Times New Roman"/>
        <family val="1"/>
      </rPr>
      <t>SB(AAL)</t>
    </r>
  </si>
  <si>
    <r>
      <t xml:space="preserve">2.2.4. Privalomojo sveikatos draudimo fondo lėšos </t>
    </r>
    <r>
      <rPr>
        <b/>
        <sz val="10"/>
        <rFont val="Times New Roman"/>
        <family val="1"/>
      </rPr>
      <t>PSDF</t>
    </r>
  </si>
  <si>
    <t>KLAIPĖDOS MIESTO SAVIVALDYBĖS SVEIKATOS APSAUGOS PROGRAMA  (Nr. 13)</t>
  </si>
  <si>
    <t>2012-ųjų metų  asignavimų planas</t>
  </si>
  <si>
    <r>
      <t>Projekto</t>
    </r>
    <r>
      <rPr>
        <b/>
        <sz val="10"/>
        <rFont val="Times New Roman"/>
        <family val="1"/>
        <charset val="186"/>
      </rPr>
      <t xml:space="preserve"> „VšĮ Klaipėdos miesto stomatologijos poliklinikos pastato renovacija (energetinių priemonių įgyvendinimas)“ </t>
    </r>
    <r>
      <rPr>
        <sz val="10"/>
        <rFont val="Times New Roman"/>
        <family val="1"/>
        <charset val="186"/>
      </rPr>
      <t>įgyvendinimas</t>
    </r>
  </si>
  <si>
    <t>2012-ųjų asignavimų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</si>
</sst>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u/>
      <sz val="10"/>
      <name val="Times New Roman Baltic"/>
      <charset val="186"/>
    </font>
    <font>
      <i/>
      <u/>
      <sz val="10"/>
      <name val="Times New Roman Baltic"/>
      <charset val="186"/>
    </font>
    <font>
      <sz val="9"/>
      <name val="Arial"/>
      <family val="2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sz val="10"/>
      <name val="Arial"/>
      <family val="2"/>
      <charset val="186"/>
    </font>
    <font>
      <i/>
      <u/>
      <sz val="10"/>
      <name val="Times New Roman Baltic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Times New Roman Baltic"/>
      <charset val="186"/>
    </font>
    <font>
      <u/>
      <sz val="9"/>
      <name val="Times New Roman"/>
      <family val="1"/>
      <charset val="186"/>
    </font>
    <font>
      <b/>
      <u/>
      <sz val="10"/>
      <name val="Times New Roman"/>
      <family val="1"/>
    </font>
    <font>
      <b/>
      <sz val="10"/>
      <name val="Arial"/>
      <family val="2"/>
      <charset val="186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  <charset val="204"/>
    </font>
    <font>
      <sz val="9"/>
      <color indexed="81"/>
      <name val="Tahoma"/>
      <family val="2"/>
      <charset val="186"/>
    </font>
    <font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708">
    <xf numFmtId="0" fontId="0" fillId="0" borderId="0" xfId="0"/>
    <xf numFmtId="164" fontId="5" fillId="2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 wrapText="1"/>
    </xf>
    <xf numFmtId="164" fontId="10" fillId="0" borderId="3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 wrapText="1"/>
    </xf>
    <xf numFmtId="164" fontId="10" fillId="0" borderId="5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10" fillId="0" borderId="7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vertical="top"/>
    </xf>
    <xf numFmtId="164" fontId="10" fillId="0" borderId="8" xfId="0" applyNumberFormat="1" applyFont="1" applyBorder="1" applyAlignment="1">
      <alignment horizontal="center" vertical="top" wrapText="1"/>
    </xf>
    <xf numFmtId="0" fontId="0" fillId="0" borderId="0" xfId="0" applyFill="1"/>
    <xf numFmtId="164" fontId="4" fillId="0" borderId="0" xfId="0" applyNumberFormat="1" applyFont="1" applyFill="1" applyBorder="1" applyAlignment="1">
      <alignment horizontal="center" vertical="top" wrapText="1"/>
    </xf>
    <xf numFmtId="164" fontId="4" fillId="3" borderId="9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164" fontId="10" fillId="0" borderId="10" xfId="0" applyNumberFormat="1" applyFont="1" applyBorder="1" applyAlignment="1">
      <alignment horizontal="center" vertical="top" wrapText="1"/>
    </xf>
    <xf numFmtId="164" fontId="10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top" wrapText="1"/>
    </xf>
    <xf numFmtId="164" fontId="10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3" borderId="18" xfId="0" applyFont="1" applyFill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3" fillId="3" borderId="18" xfId="0" applyFont="1" applyFill="1" applyBorder="1" applyAlignment="1">
      <alignment vertical="top" wrapText="1"/>
    </xf>
    <xf numFmtId="164" fontId="5" fillId="2" borderId="20" xfId="0" applyNumberFormat="1" applyFont="1" applyFill="1" applyBorder="1" applyAlignment="1">
      <alignment horizontal="center" vertical="top"/>
    </xf>
    <xf numFmtId="164" fontId="5" fillId="2" borderId="9" xfId="0" applyNumberFormat="1" applyFont="1" applyFill="1" applyBorder="1" applyAlignment="1">
      <alignment horizontal="center" vertical="top"/>
    </xf>
    <xf numFmtId="164" fontId="5" fillId="2" borderId="21" xfId="0" applyNumberFormat="1" applyFont="1" applyFill="1" applyBorder="1" applyAlignment="1">
      <alignment horizontal="center" vertical="top"/>
    </xf>
    <xf numFmtId="164" fontId="5" fillId="2" borderId="22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top"/>
    </xf>
    <xf numFmtId="0" fontId="15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49" fontId="11" fillId="0" borderId="2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49" fontId="18" fillId="0" borderId="0" xfId="1" applyNumberFormat="1" applyFont="1" applyAlignment="1" applyProtection="1">
      <alignment horizontal="center" vertical="top"/>
    </xf>
    <xf numFmtId="0" fontId="19" fillId="0" borderId="0" xfId="1" applyFont="1"/>
    <xf numFmtId="0" fontId="20" fillId="0" borderId="28" xfId="1" applyFont="1" applyBorder="1" applyAlignment="1">
      <alignment horizontal="center" vertical="top"/>
    </xf>
    <xf numFmtId="49" fontId="20" fillId="0" borderId="29" xfId="1" applyNumberFormat="1" applyFont="1" applyBorder="1" applyAlignment="1">
      <alignment horizontal="left"/>
    </xf>
    <xf numFmtId="0" fontId="20" fillId="0" borderId="29" xfId="1" applyFont="1" applyBorder="1" applyAlignment="1">
      <alignment horizontal="center" vertical="top"/>
    </xf>
    <xf numFmtId="0" fontId="20" fillId="0" borderId="29" xfId="1" applyFont="1" applyBorder="1" applyAlignment="1">
      <alignment horizontal="left"/>
    </xf>
    <xf numFmtId="0" fontId="20" fillId="0" borderId="29" xfId="1" applyFont="1" applyFill="1" applyBorder="1" applyAlignment="1">
      <alignment horizontal="center" vertical="top"/>
    </xf>
    <xf numFmtId="0" fontId="13" fillId="0" borderId="29" xfId="0" applyFont="1" applyBorder="1" applyAlignment="1">
      <alignment horizontal="center"/>
    </xf>
    <xf numFmtId="0" fontId="20" fillId="0" borderId="29" xfId="1" applyFont="1" applyBorder="1" applyAlignment="1">
      <alignment horizontal="center"/>
    </xf>
    <xf numFmtId="0" fontId="3" fillId="0" borderId="24" xfId="0" applyFont="1" applyBorder="1" applyAlignment="1">
      <alignment horizontal="center" vertical="top" wrapText="1"/>
    </xf>
    <xf numFmtId="0" fontId="20" fillId="0" borderId="0" xfId="1" applyFont="1" applyBorder="1" applyAlignment="1">
      <alignment horizontal="left" vertical="top" wrapText="1"/>
    </xf>
    <xf numFmtId="0" fontId="20" fillId="0" borderId="30" xfId="1" applyFont="1" applyBorder="1" applyAlignment="1">
      <alignment horizontal="center" vertical="top"/>
    </xf>
    <xf numFmtId="0" fontId="20" fillId="0" borderId="0" xfId="1" applyFont="1" applyBorder="1" applyAlignment="1">
      <alignment horizontal="center" vertical="top"/>
    </xf>
    <xf numFmtId="0" fontId="13" fillId="0" borderId="0" xfId="0" applyFont="1" applyBorder="1" applyAlignment="1">
      <alignment horizontal="center"/>
    </xf>
    <xf numFmtId="0" fontId="28" fillId="0" borderId="0" xfId="1" applyFont="1" applyBorder="1" applyAlignment="1">
      <alignment horizontal="left" vertical="top" wrapText="1"/>
    </xf>
    <xf numFmtId="0" fontId="0" fillId="0" borderId="0" xfId="0" applyBorder="1"/>
    <xf numFmtId="164" fontId="29" fillId="0" borderId="31" xfId="0" applyNumberFormat="1" applyFont="1" applyBorder="1" applyAlignment="1">
      <alignment horizontal="center" vertical="top" wrapText="1"/>
    </xf>
    <xf numFmtId="164" fontId="29" fillId="0" borderId="32" xfId="0" applyNumberFormat="1" applyFont="1" applyBorder="1" applyAlignment="1">
      <alignment horizontal="center" vertical="top"/>
    </xf>
    <xf numFmtId="164" fontId="29" fillId="0" borderId="33" xfId="0" applyNumberFormat="1" applyFont="1" applyBorder="1" applyAlignment="1">
      <alignment horizontal="center" vertical="top" wrapText="1"/>
    </xf>
    <xf numFmtId="0" fontId="27" fillId="0" borderId="0" xfId="0" applyFont="1"/>
    <xf numFmtId="0" fontId="6" fillId="0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/>
    </xf>
    <xf numFmtId="49" fontId="26" fillId="0" borderId="28" xfId="1" applyNumberFormat="1" applyFont="1" applyBorder="1" applyAlignment="1">
      <alignment horizontal="center"/>
    </xf>
    <xf numFmtId="0" fontId="21" fillId="0" borderId="34" xfId="1" applyFont="1" applyBorder="1" applyAlignment="1">
      <alignment horizontal="left" vertical="top" wrapText="1"/>
    </xf>
    <xf numFmtId="0" fontId="20" fillId="0" borderId="28" xfId="1" applyFont="1" applyFill="1" applyBorder="1" applyAlignment="1">
      <alignment horizontal="center" vertical="top"/>
    </xf>
    <xf numFmtId="0" fontId="13" fillId="0" borderId="29" xfId="0" applyFont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distributed" wrapText="1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32" fillId="0" borderId="0" xfId="1" applyFont="1" applyBorder="1" applyAlignment="1">
      <alignment horizontal="left" vertical="top" wrapText="1"/>
    </xf>
    <xf numFmtId="0" fontId="19" fillId="0" borderId="0" xfId="1" applyFont="1" applyAlignment="1">
      <alignment horizontal="center"/>
    </xf>
    <xf numFmtId="0" fontId="20" fillId="0" borderId="35" xfId="1" applyFont="1" applyBorder="1" applyAlignment="1">
      <alignment horizontal="center" vertical="top"/>
    </xf>
    <xf numFmtId="0" fontId="13" fillId="0" borderId="29" xfId="1" applyFont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0" fillId="0" borderId="0" xfId="0" applyBorder="1" applyAlignment="1"/>
    <xf numFmtId="0" fontId="7" fillId="0" borderId="0" xfId="0" applyFont="1" applyBorder="1" applyAlignment="1">
      <alignment vertical="top" wrapText="1"/>
    </xf>
    <xf numFmtId="0" fontId="33" fillId="0" borderId="0" xfId="0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vertical="center" textRotation="90" wrapText="1"/>
    </xf>
    <xf numFmtId="0" fontId="2" fillId="0" borderId="36" xfId="0" applyFont="1" applyFill="1" applyBorder="1" applyAlignment="1">
      <alignment horizontal="center" vertical="center" textRotation="90" wrapText="1"/>
    </xf>
    <xf numFmtId="49" fontId="3" fillId="4" borderId="23" xfId="0" applyNumberFormat="1" applyFont="1" applyFill="1" applyBorder="1" applyAlignment="1">
      <alignment horizontal="center" vertical="top" wrapText="1"/>
    </xf>
    <xf numFmtId="49" fontId="3" fillId="4" borderId="23" xfId="0" applyNumberFormat="1" applyFont="1" applyFill="1" applyBorder="1" applyAlignment="1">
      <alignment horizontal="center" vertical="top"/>
    </xf>
    <xf numFmtId="49" fontId="3" fillId="2" borderId="37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164" fontId="2" fillId="5" borderId="41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5" borderId="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/>
    </xf>
    <xf numFmtId="164" fontId="2" fillId="0" borderId="45" xfId="0" applyNumberFormat="1" applyFont="1" applyFill="1" applyBorder="1" applyAlignment="1">
      <alignment horizontal="center" vertical="center"/>
    </xf>
    <xf numFmtId="164" fontId="2" fillId="0" borderId="46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/>
    </xf>
    <xf numFmtId="164" fontId="2" fillId="0" borderId="47" xfId="0" applyNumberFormat="1" applyFont="1" applyFill="1" applyBorder="1" applyAlignment="1">
      <alignment horizontal="center" vertical="top"/>
    </xf>
    <xf numFmtId="164" fontId="2" fillId="0" borderId="48" xfId="0" applyNumberFormat="1" applyFont="1" applyFill="1" applyBorder="1" applyAlignment="1">
      <alignment horizontal="center" vertical="top"/>
    </xf>
    <xf numFmtId="164" fontId="2" fillId="0" borderId="49" xfId="0" applyNumberFormat="1" applyFont="1" applyFill="1" applyBorder="1" applyAlignment="1">
      <alignment horizontal="center" vertical="top"/>
    </xf>
    <xf numFmtId="164" fontId="2" fillId="0" borderId="50" xfId="0" applyNumberFormat="1" applyFont="1" applyFill="1" applyBorder="1" applyAlignment="1">
      <alignment horizontal="center" vertical="top"/>
    </xf>
    <xf numFmtId="164" fontId="2" fillId="0" borderId="39" xfId="0" applyNumberFormat="1" applyFont="1" applyFill="1" applyBorder="1" applyAlignment="1">
      <alignment horizontal="center" vertical="top"/>
    </xf>
    <xf numFmtId="164" fontId="2" fillId="0" borderId="39" xfId="0" applyNumberFormat="1" applyFont="1" applyFill="1" applyBorder="1" applyAlignment="1">
      <alignment horizontal="center" vertical="top" wrapText="1"/>
    </xf>
    <xf numFmtId="164" fontId="2" fillId="0" borderId="40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164" fontId="2" fillId="0" borderId="29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center" vertical="top"/>
    </xf>
    <xf numFmtId="164" fontId="2" fillId="0" borderId="51" xfId="0" applyNumberFormat="1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164" fontId="2" fillId="0" borderId="45" xfId="0" applyNumberFormat="1" applyFont="1" applyFill="1" applyBorder="1" applyAlignment="1">
      <alignment horizontal="center" vertical="top"/>
    </xf>
    <xf numFmtId="164" fontId="2" fillId="0" borderId="28" xfId="0" applyNumberFormat="1" applyFont="1" applyFill="1" applyBorder="1" applyAlignment="1">
      <alignment horizontal="center" vertical="top"/>
    </xf>
    <xf numFmtId="164" fontId="3" fillId="0" borderId="52" xfId="0" applyNumberFormat="1" applyFont="1" applyFill="1" applyBorder="1" applyAlignment="1">
      <alignment horizontal="center" vertical="top"/>
    </xf>
    <xf numFmtId="164" fontId="2" fillId="5" borderId="8" xfId="0" applyNumberFormat="1" applyFont="1" applyFill="1" applyBorder="1" applyAlignment="1">
      <alignment horizontal="center" vertical="top"/>
    </xf>
    <xf numFmtId="164" fontId="2" fillId="0" borderId="53" xfId="0" applyNumberFormat="1" applyFont="1" applyFill="1" applyBorder="1" applyAlignment="1">
      <alignment horizontal="center" vertical="top"/>
    </xf>
    <xf numFmtId="164" fontId="2" fillId="5" borderId="13" xfId="0" applyNumberFormat="1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164" fontId="2" fillId="0" borderId="54" xfId="0" applyNumberFormat="1" applyFont="1" applyFill="1" applyBorder="1" applyAlignment="1">
      <alignment horizontal="center" vertical="top"/>
    </xf>
    <xf numFmtId="164" fontId="2" fillId="0" borderId="24" xfId="0" applyNumberFormat="1" applyFont="1" applyFill="1" applyBorder="1" applyAlignment="1">
      <alignment horizontal="center" vertical="top"/>
    </xf>
    <xf numFmtId="164" fontId="2" fillId="0" borderId="55" xfId="0" applyNumberFormat="1" applyFont="1" applyFill="1" applyBorder="1" applyAlignment="1">
      <alignment horizontal="center" vertical="top"/>
    </xf>
    <xf numFmtId="164" fontId="2" fillId="5" borderId="7" xfId="0" applyNumberFormat="1" applyFont="1" applyFill="1" applyBorder="1" applyAlignment="1">
      <alignment horizontal="center" vertical="top"/>
    </xf>
    <xf numFmtId="164" fontId="2" fillId="0" borderId="56" xfId="0" applyNumberFormat="1" applyFont="1" applyFill="1" applyBorder="1" applyAlignment="1">
      <alignment horizontal="center" vertical="top"/>
    </xf>
    <xf numFmtId="49" fontId="3" fillId="4" borderId="18" xfId="0" applyNumberFormat="1" applyFont="1" applyFill="1" applyBorder="1" applyAlignment="1">
      <alignment horizontal="center" vertical="top"/>
    </xf>
    <xf numFmtId="0" fontId="2" fillId="0" borderId="57" xfId="0" applyFont="1" applyBorder="1" applyAlignment="1">
      <alignment horizontal="center" vertical="top" wrapText="1"/>
    </xf>
    <xf numFmtId="164" fontId="2" fillId="0" borderId="58" xfId="0" applyNumberFormat="1" applyFont="1" applyFill="1" applyBorder="1" applyAlignment="1">
      <alignment horizontal="center" vertical="top" wrapText="1"/>
    </xf>
    <xf numFmtId="164" fontId="2" fillId="0" borderId="59" xfId="0" applyNumberFormat="1" applyFont="1" applyFill="1" applyBorder="1" applyAlignment="1">
      <alignment horizontal="center" vertical="top" wrapText="1"/>
    </xf>
    <xf numFmtId="164" fontId="2" fillId="0" borderId="60" xfId="0" applyNumberFormat="1" applyFont="1" applyFill="1" applyBorder="1" applyAlignment="1">
      <alignment horizontal="center" vertical="top" wrapText="1"/>
    </xf>
    <xf numFmtId="164" fontId="2" fillId="0" borderId="61" xfId="0" applyNumberFormat="1" applyFont="1" applyFill="1" applyBorder="1" applyAlignment="1">
      <alignment horizontal="center" vertical="top" wrapText="1"/>
    </xf>
    <xf numFmtId="164" fontId="2" fillId="5" borderId="62" xfId="0" applyNumberFormat="1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164" fontId="2" fillId="0" borderId="34" xfId="0" applyNumberFormat="1" applyFont="1" applyBorder="1" applyAlignment="1">
      <alignment horizontal="center" vertical="top"/>
    </xf>
    <xf numFmtId="164" fontId="2" fillId="0" borderId="28" xfId="0" applyNumberFormat="1" applyFont="1" applyBorder="1" applyAlignment="1">
      <alignment horizontal="center" vertical="top"/>
    </xf>
    <xf numFmtId="164" fontId="2" fillId="0" borderId="52" xfId="0" applyNumberFormat="1" applyFont="1" applyBorder="1" applyAlignment="1">
      <alignment horizontal="center" vertical="top"/>
    </xf>
    <xf numFmtId="164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164" fontId="2" fillId="0" borderId="24" xfId="0" applyNumberFormat="1" applyFont="1" applyBorder="1" applyAlignment="1">
      <alignment horizontal="center" vertical="top"/>
    </xf>
    <xf numFmtId="164" fontId="2" fillId="0" borderId="27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0" borderId="7" xfId="0" applyNumberFormat="1" applyFont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164" fontId="2" fillId="0" borderId="29" xfId="0" applyNumberFormat="1" applyFont="1" applyBorder="1" applyAlignment="1">
      <alignment horizontal="center" vertical="top"/>
    </xf>
    <xf numFmtId="164" fontId="2" fillId="0" borderId="35" xfId="0" applyNumberFormat="1" applyFont="1" applyBorder="1" applyAlignment="1">
      <alignment horizontal="center" vertical="top"/>
    </xf>
    <xf numFmtId="164" fontId="2" fillId="0" borderId="43" xfId="0" applyNumberFormat="1" applyFont="1" applyBorder="1" applyAlignment="1">
      <alignment horizontal="center" vertical="top"/>
    </xf>
    <xf numFmtId="164" fontId="2" fillId="0" borderId="29" xfId="0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164" fontId="2" fillId="0" borderId="62" xfId="0" applyNumberFormat="1" applyFont="1" applyBorder="1" applyAlignment="1">
      <alignment horizontal="center" vertical="top"/>
    </xf>
    <xf numFmtId="164" fontId="2" fillId="0" borderId="38" xfId="0" applyNumberFormat="1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horizontal="center" vertical="top"/>
    </xf>
    <xf numFmtId="49" fontId="3" fillId="3" borderId="23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164" fontId="36" fillId="0" borderId="0" xfId="0" applyNumberFormat="1" applyFont="1" applyFill="1" applyBorder="1" applyAlignment="1">
      <alignment horizontal="center" vertical="top" wrapText="1"/>
    </xf>
    <xf numFmtId="164" fontId="37" fillId="0" borderId="0" xfId="0" applyNumberFormat="1" applyFont="1" applyBorder="1" applyAlignment="1">
      <alignment horizontal="center" vertical="top" wrapText="1"/>
    </xf>
    <xf numFmtId="164" fontId="2" fillId="0" borderId="0" xfId="0" applyNumberFormat="1" applyFont="1" applyBorder="1" applyAlignment="1">
      <alignment horizontal="center" vertical="top"/>
    </xf>
    <xf numFmtId="164" fontId="37" fillId="0" borderId="0" xfId="0" applyNumberFormat="1" applyFont="1" applyFill="1" applyBorder="1" applyAlignment="1">
      <alignment horizontal="center" vertical="top" wrapText="1"/>
    </xf>
    <xf numFmtId="164" fontId="2" fillId="0" borderId="39" xfId="0" applyNumberFormat="1" applyFont="1" applyFill="1" applyBorder="1" applyAlignment="1">
      <alignment horizontal="center" vertical="center"/>
    </xf>
    <xf numFmtId="164" fontId="2" fillId="0" borderId="40" xfId="0" applyNumberFormat="1" applyFont="1" applyFill="1" applyBorder="1" applyAlignment="1">
      <alignment horizontal="center" vertical="center"/>
    </xf>
    <xf numFmtId="164" fontId="2" fillId="0" borderId="42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top"/>
    </xf>
    <xf numFmtId="164" fontId="13" fillId="0" borderId="28" xfId="0" applyNumberFormat="1" applyFont="1" applyFill="1" applyBorder="1" applyAlignment="1">
      <alignment horizontal="center" vertical="top"/>
    </xf>
    <xf numFmtId="164" fontId="3" fillId="0" borderId="46" xfId="0" applyNumberFormat="1" applyFont="1" applyFill="1" applyBorder="1" applyAlignment="1">
      <alignment horizontal="center" vertical="top"/>
    </xf>
    <xf numFmtId="164" fontId="13" fillId="0" borderId="24" xfId="0" applyNumberFormat="1" applyFont="1" applyFill="1" applyBorder="1" applyAlignment="1">
      <alignment horizontal="center" vertical="top"/>
    </xf>
    <xf numFmtId="0" fontId="2" fillId="0" borderId="46" xfId="0" applyNumberFormat="1" applyFont="1" applyFill="1" applyBorder="1" applyAlignment="1">
      <alignment horizontal="center" vertical="center"/>
    </xf>
    <xf numFmtId="164" fontId="5" fillId="2" borderId="63" xfId="0" applyNumberFormat="1" applyFont="1" applyFill="1" applyBorder="1" applyAlignment="1">
      <alignment horizontal="center" vertical="top"/>
    </xf>
    <xf numFmtId="164" fontId="5" fillId="2" borderId="23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 wrapText="1"/>
    </xf>
    <xf numFmtId="164" fontId="2" fillId="5" borderId="13" xfId="0" applyNumberFormat="1" applyFont="1" applyFill="1" applyBorder="1" applyAlignment="1">
      <alignment horizontal="center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/>
    </xf>
    <xf numFmtId="164" fontId="2" fillId="5" borderId="64" xfId="0" applyNumberFormat="1" applyFont="1" applyFill="1" applyBorder="1" applyAlignment="1">
      <alignment horizontal="center" vertical="top" wrapText="1"/>
    </xf>
    <xf numFmtId="164" fontId="5" fillId="2" borderId="65" xfId="0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2" fillId="0" borderId="40" xfId="0" applyNumberFormat="1" applyFont="1" applyFill="1" applyBorder="1" applyAlignment="1">
      <alignment horizontal="center" vertical="top" wrapText="1"/>
    </xf>
    <xf numFmtId="164" fontId="2" fillId="0" borderId="49" xfId="0" applyNumberFormat="1" applyFont="1" applyFill="1" applyBorder="1" applyAlignment="1">
      <alignment horizontal="center" vertical="top" wrapText="1"/>
    </xf>
    <xf numFmtId="164" fontId="2" fillId="0" borderId="66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45" xfId="0" applyNumberFormat="1" applyFont="1" applyFill="1" applyBorder="1" applyAlignment="1">
      <alignment horizontal="center" vertical="top" wrapText="1"/>
    </xf>
    <xf numFmtId="164" fontId="2" fillId="0" borderId="28" xfId="0" applyNumberFormat="1" applyFont="1" applyFill="1" applyBorder="1" applyAlignment="1">
      <alignment horizontal="center" vertical="top" wrapText="1"/>
    </xf>
    <xf numFmtId="164" fontId="2" fillId="0" borderId="46" xfId="0" applyNumberFormat="1" applyFont="1" applyFill="1" applyBorder="1" applyAlignment="1">
      <alignment horizontal="center" vertical="top" wrapText="1"/>
    </xf>
    <xf numFmtId="164" fontId="3" fillId="0" borderId="59" xfId="0" applyNumberFormat="1" applyFont="1" applyBorder="1" applyAlignment="1">
      <alignment horizontal="center" vertical="center" wrapText="1"/>
    </xf>
    <xf numFmtId="164" fontId="2" fillId="5" borderId="8" xfId="0" applyNumberFormat="1" applyFont="1" applyFill="1" applyBorder="1" applyAlignment="1">
      <alignment horizontal="center" vertical="top" wrapText="1"/>
    </xf>
    <xf numFmtId="164" fontId="2" fillId="5" borderId="67" xfId="0" applyNumberFormat="1" applyFont="1" applyFill="1" applyBorder="1" applyAlignment="1">
      <alignment horizontal="center" vertical="top" wrapText="1"/>
    </xf>
    <xf numFmtId="164" fontId="2" fillId="5" borderId="38" xfId="0" applyNumberFormat="1" applyFont="1" applyFill="1" applyBorder="1" applyAlignment="1">
      <alignment horizontal="center" vertical="top" wrapText="1"/>
    </xf>
    <xf numFmtId="164" fontId="2" fillId="5" borderId="47" xfId="0" applyNumberFormat="1" applyFont="1" applyFill="1" applyBorder="1" applyAlignment="1">
      <alignment horizontal="center" vertical="top" wrapText="1"/>
    </xf>
    <xf numFmtId="164" fontId="2" fillId="5" borderId="12" xfId="0" applyNumberFormat="1" applyFont="1" applyFill="1" applyBorder="1" applyAlignment="1">
      <alignment horizontal="center" vertical="top" wrapText="1"/>
    </xf>
    <xf numFmtId="164" fontId="2" fillId="5" borderId="13" xfId="0" applyNumberFormat="1" applyFont="1" applyFill="1" applyBorder="1" applyAlignment="1">
      <alignment horizontal="center" vertical="top" wrapText="1"/>
    </xf>
    <xf numFmtId="164" fontId="2" fillId="5" borderId="16" xfId="0" applyNumberFormat="1" applyFont="1" applyFill="1" applyBorder="1" applyAlignment="1">
      <alignment horizontal="center" vertical="top" wrapText="1"/>
    </xf>
    <xf numFmtId="164" fontId="2" fillId="0" borderId="42" xfId="0" applyNumberFormat="1" applyFont="1" applyFill="1" applyBorder="1" applyAlignment="1">
      <alignment horizontal="center" vertical="top" wrapText="1"/>
    </xf>
    <xf numFmtId="164" fontId="2" fillId="0" borderId="29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5" borderId="35" xfId="0" applyNumberFormat="1" applyFont="1" applyFill="1" applyBorder="1" applyAlignment="1">
      <alignment horizontal="center" vertical="top" wrapText="1"/>
    </xf>
    <xf numFmtId="164" fontId="2" fillId="5" borderId="0" xfId="0" applyNumberFormat="1" applyFont="1" applyFill="1" applyBorder="1" applyAlignment="1">
      <alignment horizontal="center" vertical="top" wrapText="1"/>
    </xf>
    <xf numFmtId="164" fontId="2" fillId="5" borderId="19" xfId="0" applyNumberFormat="1" applyFont="1" applyFill="1" applyBorder="1" applyAlignment="1">
      <alignment horizontal="center" vertical="top" wrapText="1"/>
    </xf>
    <xf numFmtId="164" fontId="2" fillId="5" borderId="6" xfId="0" applyNumberFormat="1" applyFont="1" applyFill="1" applyBorder="1" applyAlignment="1">
      <alignment horizontal="center" vertical="top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Fill="1" applyBorder="1" applyAlignment="1">
      <alignment horizontal="center" vertical="top" wrapText="1"/>
    </xf>
    <xf numFmtId="164" fontId="2" fillId="0" borderId="52" xfId="0" applyNumberFormat="1" applyFont="1" applyFill="1" applyBorder="1" applyAlignment="1">
      <alignment horizontal="center" vertical="top" wrapText="1"/>
    </xf>
    <xf numFmtId="164" fontId="2" fillId="0" borderId="47" xfId="0" applyNumberFormat="1" applyFont="1" applyFill="1" applyBorder="1" applyAlignment="1">
      <alignment horizontal="center" vertical="top" wrapText="1"/>
    </xf>
    <xf numFmtId="164" fontId="2" fillId="0" borderId="41" xfId="0" applyNumberFormat="1" applyFont="1" applyFill="1" applyBorder="1" applyAlignment="1">
      <alignment horizontal="center" vertical="top" wrapText="1"/>
    </xf>
    <xf numFmtId="49" fontId="3" fillId="4" borderId="58" xfId="0" applyNumberFormat="1" applyFont="1" applyFill="1" applyBorder="1" applyAlignment="1">
      <alignment vertical="top"/>
    </xf>
    <xf numFmtId="49" fontId="3" fillId="2" borderId="59" xfId="0" applyNumberFormat="1" applyFont="1" applyFill="1" applyBorder="1" applyAlignment="1">
      <alignment vertical="top"/>
    </xf>
    <xf numFmtId="49" fontId="3" fillId="5" borderId="59" xfId="0" applyNumberFormat="1" applyFont="1" applyFill="1" applyBorder="1" applyAlignment="1">
      <alignment vertical="top"/>
    </xf>
    <xf numFmtId="0" fontId="3" fillId="0" borderId="59" xfId="0" applyFont="1" applyBorder="1" applyAlignment="1">
      <alignment vertical="center" textRotation="90"/>
    </xf>
    <xf numFmtId="49" fontId="2" fillId="0" borderId="60" xfId="0" applyNumberFormat="1" applyFont="1" applyBorder="1" applyAlignment="1">
      <alignment vertical="top"/>
    </xf>
    <xf numFmtId="49" fontId="3" fillId="4" borderId="42" xfId="0" applyNumberFormat="1" applyFont="1" applyFill="1" applyBorder="1" applyAlignment="1">
      <alignment vertical="top"/>
    </xf>
    <xf numFmtId="49" fontId="3" fillId="2" borderId="29" xfId="0" applyNumberFormat="1" applyFont="1" applyFill="1" applyBorder="1" applyAlignment="1">
      <alignment vertical="top"/>
    </xf>
    <xf numFmtId="49" fontId="3" fillId="5" borderId="29" xfId="0" applyNumberFormat="1" applyFont="1" applyFill="1" applyBorder="1" applyAlignment="1">
      <alignment vertical="top"/>
    </xf>
    <xf numFmtId="0" fontId="3" fillId="0" borderId="29" xfId="0" applyFont="1" applyBorder="1" applyAlignment="1">
      <alignment vertical="center" textRotation="90"/>
    </xf>
    <xf numFmtId="49" fontId="2" fillId="0" borderId="44" xfId="0" applyNumberFormat="1" applyFont="1" applyBorder="1" applyAlignment="1">
      <alignment vertical="top"/>
    </xf>
    <xf numFmtId="49" fontId="14" fillId="0" borderId="6" xfId="0" applyNumberFormat="1" applyFont="1" applyBorder="1" applyAlignment="1">
      <alignment vertical="top"/>
    </xf>
    <xf numFmtId="49" fontId="3" fillId="4" borderId="21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49" fontId="3" fillId="5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vertical="center" textRotation="90"/>
    </xf>
    <xf numFmtId="49" fontId="2" fillId="0" borderId="22" xfId="0" applyNumberFormat="1" applyFont="1" applyBorder="1" applyAlignment="1">
      <alignment vertical="top"/>
    </xf>
    <xf numFmtId="49" fontId="14" fillId="0" borderId="10" xfId="0" applyNumberFormat="1" applyFont="1" applyBorder="1" applyAlignment="1">
      <alignment vertical="top"/>
    </xf>
    <xf numFmtId="164" fontId="2" fillId="0" borderId="12" xfId="0" applyNumberFormat="1" applyFont="1" applyFill="1" applyBorder="1" applyAlignment="1">
      <alignment horizontal="center" vertical="top" wrapText="1"/>
    </xf>
    <xf numFmtId="164" fontId="13" fillId="0" borderId="16" xfId="0" applyNumberFormat="1" applyFont="1" applyFill="1" applyBorder="1" applyAlignment="1">
      <alignment horizontal="center" vertical="top" wrapText="1"/>
    </xf>
    <xf numFmtId="164" fontId="13" fillId="0" borderId="8" xfId="0" applyNumberFormat="1" applyFont="1" applyFill="1" applyBorder="1" applyAlignment="1">
      <alignment horizontal="center" vertical="top"/>
    </xf>
    <xf numFmtId="49" fontId="14" fillId="0" borderId="6" xfId="0" applyNumberFormat="1" applyFont="1" applyBorder="1" applyAlignment="1">
      <alignment horizontal="center" vertical="top"/>
    </xf>
    <xf numFmtId="164" fontId="2" fillId="0" borderId="68" xfId="0" applyNumberFormat="1" applyFont="1" applyFill="1" applyBorder="1" applyAlignment="1">
      <alignment horizontal="center" vertical="top" wrapText="1"/>
    </xf>
    <xf numFmtId="49" fontId="14" fillId="0" borderId="62" xfId="0" applyNumberFormat="1" applyFont="1" applyBorder="1" applyAlignment="1">
      <alignment horizontal="center" vertical="top"/>
    </xf>
    <xf numFmtId="49" fontId="14" fillId="0" borderId="10" xfId="0" applyNumberFormat="1" applyFont="1" applyBorder="1" applyAlignment="1">
      <alignment horizontal="center" vertical="top"/>
    </xf>
    <xf numFmtId="164" fontId="5" fillId="4" borderId="18" xfId="0" applyNumberFormat="1" applyFont="1" applyFill="1" applyBorder="1" applyAlignment="1">
      <alignment horizontal="center" vertical="top"/>
    </xf>
    <xf numFmtId="164" fontId="5" fillId="3" borderId="18" xfId="0" applyNumberFormat="1" applyFont="1" applyFill="1" applyBorder="1" applyAlignment="1">
      <alignment horizontal="center" vertical="top"/>
    </xf>
    <xf numFmtId="164" fontId="5" fillId="2" borderId="65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5" fillId="4" borderId="37" xfId="0" applyNumberFormat="1" applyFont="1" applyFill="1" applyBorder="1" applyAlignment="1">
      <alignment horizontal="center" vertical="top"/>
    </xf>
    <xf numFmtId="164" fontId="5" fillId="3" borderId="37" xfId="0" applyNumberFormat="1" applyFont="1" applyFill="1" applyBorder="1" applyAlignment="1">
      <alignment horizontal="center" vertical="top"/>
    </xf>
    <xf numFmtId="164" fontId="5" fillId="4" borderId="65" xfId="0" applyNumberFormat="1" applyFont="1" applyFill="1" applyBorder="1" applyAlignment="1">
      <alignment horizontal="center" vertical="top"/>
    </xf>
    <xf numFmtId="164" fontId="5" fillId="3" borderId="65" xfId="0" applyNumberFormat="1" applyFont="1" applyFill="1" applyBorder="1" applyAlignment="1">
      <alignment horizontal="center" vertical="top"/>
    </xf>
    <xf numFmtId="164" fontId="5" fillId="2" borderId="69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4" borderId="9" xfId="0" applyNumberFormat="1" applyFont="1" applyFill="1" applyBorder="1" applyAlignment="1">
      <alignment horizontal="center" vertical="top"/>
    </xf>
    <xf numFmtId="164" fontId="5" fillId="3" borderId="9" xfId="0" applyNumberFormat="1" applyFont="1" applyFill="1" applyBorder="1" applyAlignment="1">
      <alignment horizontal="center" vertical="top"/>
    </xf>
    <xf numFmtId="164" fontId="2" fillId="0" borderId="51" xfId="0" applyNumberFormat="1" applyFont="1" applyFill="1" applyBorder="1" applyAlignment="1">
      <alignment horizontal="center" vertical="top" wrapText="1"/>
    </xf>
    <xf numFmtId="164" fontId="3" fillId="0" borderId="59" xfId="0" applyNumberFormat="1" applyFont="1" applyBorder="1" applyAlignment="1">
      <alignment vertical="top" wrapText="1"/>
    </xf>
    <xf numFmtId="164" fontId="5" fillId="2" borderId="70" xfId="0" applyNumberFormat="1" applyFont="1" applyFill="1" applyBorder="1" applyAlignment="1">
      <alignment horizontal="center" vertical="center" wrapText="1"/>
    </xf>
    <xf numFmtId="164" fontId="5" fillId="4" borderId="70" xfId="0" applyNumberFormat="1" applyFont="1" applyFill="1" applyBorder="1" applyAlignment="1">
      <alignment horizontal="center" vertical="top"/>
    </xf>
    <xf numFmtId="164" fontId="5" fillId="3" borderId="70" xfId="0" applyNumberFormat="1" applyFont="1" applyFill="1" applyBorder="1" applyAlignment="1">
      <alignment horizontal="center" vertical="top"/>
    </xf>
    <xf numFmtId="164" fontId="2" fillId="5" borderId="45" xfId="0" applyNumberFormat="1" applyFont="1" applyFill="1" applyBorder="1" applyAlignment="1">
      <alignment horizontal="center" vertical="top" wrapText="1"/>
    </xf>
    <xf numFmtId="164" fontId="2" fillId="5" borderId="34" xfId="0" applyNumberFormat="1" applyFont="1" applyFill="1" applyBorder="1" applyAlignment="1">
      <alignment horizontal="center" vertical="top" wrapText="1"/>
    </xf>
    <xf numFmtId="164" fontId="2" fillId="5" borderId="53" xfId="0" applyNumberFormat="1" applyFont="1" applyFill="1" applyBorder="1" applyAlignment="1">
      <alignment horizontal="center" vertical="top" wrapText="1"/>
    </xf>
    <xf numFmtId="164" fontId="3" fillId="0" borderId="29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top" wrapText="1"/>
    </xf>
    <xf numFmtId="164" fontId="2" fillId="5" borderId="58" xfId="0" applyNumberFormat="1" applyFont="1" applyFill="1" applyBorder="1" applyAlignment="1">
      <alignment horizontal="center" vertical="top" wrapText="1"/>
    </xf>
    <xf numFmtId="164" fontId="2" fillId="5" borderId="59" xfId="0" applyNumberFormat="1" applyFont="1" applyFill="1" applyBorder="1" applyAlignment="1">
      <alignment horizontal="center" vertical="top" wrapText="1"/>
    </xf>
    <xf numFmtId="164" fontId="2" fillId="5" borderId="60" xfId="0" applyNumberFormat="1" applyFont="1" applyFill="1" applyBorder="1" applyAlignment="1">
      <alignment horizontal="center" vertical="top" wrapText="1"/>
    </xf>
    <xf numFmtId="49" fontId="3" fillId="4" borderId="58" xfId="0" applyNumberFormat="1" applyFont="1" applyFill="1" applyBorder="1" applyAlignment="1">
      <alignment horizontal="center" vertical="top"/>
    </xf>
    <xf numFmtId="49" fontId="3" fillId="0" borderId="62" xfId="0" applyNumberFormat="1" applyFont="1" applyBorder="1" applyAlignment="1">
      <alignment vertical="top" wrapText="1"/>
    </xf>
    <xf numFmtId="49" fontId="3" fillId="4" borderId="58" xfId="0" applyNumberFormat="1" applyFont="1" applyFill="1" applyBorder="1" applyAlignment="1">
      <alignment vertical="top" wrapText="1"/>
    </xf>
    <xf numFmtId="49" fontId="3" fillId="4" borderId="42" xfId="0" applyNumberFormat="1" applyFont="1" applyFill="1" applyBorder="1" applyAlignment="1">
      <alignment vertical="top" wrapText="1"/>
    </xf>
    <xf numFmtId="49" fontId="3" fillId="4" borderId="21" xfId="0" applyNumberFormat="1" applyFont="1" applyFill="1" applyBorder="1" applyAlignment="1">
      <alignment vertical="top" wrapText="1"/>
    </xf>
    <xf numFmtId="49" fontId="2" fillId="0" borderId="44" xfId="0" applyNumberFormat="1" applyFont="1" applyBorder="1" applyAlignment="1">
      <alignment vertical="top" wrapText="1"/>
    </xf>
    <xf numFmtId="49" fontId="2" fillId="0" borderId="22" xfId="0" applyNumberFormat="1" applyFont="1" applyBorder="1" applyAlignment="1">
      <alignment vertical="top" wrapText="1"/>
    </xf>
    <xf numFmtId="49" fontId="2" fillId="0" borderId="60" xfId="0" applyNumberFormat="1" applyFont="1" applyBorder="1" applyAlignment="1">
      <alignment horizontal="center" vertical="top" wrapText="1"/>
    </xf>
    <xf numFmtId="49" fontId="3" fillId="5" borderId="43" xfId="0" applyNumberFormat="1" applyFont="1" applyFill="1" applyBorder="1" applyAlignment="1">
      <alignment vertical="top"/>
    </xf>
    <xf numFmtId="164" fontId="2" fillId="0" borderId="35" xfId="0" applyNumberFormat="1" applyFont="1" applyFill="1" applyBorder="1" applyAlignment="1">
      <alignment horizontal="center" vertical="top" wrapText="1"/>
    </xf>
    <xf numFmtId="164" fontId="2" fillId="5" borderId="42" xfId="0" applyNumberFormat="1" applyFont="1" applyFill="1" applyBorder="1" applyAlignment="1">
      <alignment horizontal="center" vertical="top" wrapText="1"/>
    </xf>
    <xf numFmtId="164" fontId="2" fillId="5" borderId="71" xfId="0" applyNumberFormat="1" applyFont="1" applyFill="1" applyBorder="1" applyAlignment="1">
      <alignment horizontal="center" vertical="top" wrapText="1"/>
    </xf>
    <xf numFmtId="0" fontId="22" fillId="0" borderId="0" xfId="1" applyFont="1" applyBorder="1" applyAlignment="1">
      <alignment horizontal="left" vertical="top" wrapText="1"/>
    </xf>
    <xf numFmtId="0" fontId="13" fillId="0" borderId="35" xfId="0" applyFont="1" applyBorder="1" applyAlignment="1">
      <alignment horizontal="center" vertical="top" wrapText="1"/>
    </xf>
    <xf numFmtId="49" fontId="13" fillId="0" borderId="29" xfId="0" applyNumberFormat="1" applyFont="1" applyBorder="1" applyAlignment="1">
      <alignment horizontal="center" vertical="top" wrapText="1"/>
    </xf>
    <xf numFmtId="0" fontId="13" fillId="0" borderId="35" xfId="0" applyFont="1" applyBorder="1" applyAlignment="1">
      <alignment horizontal="center" vertical="distributed" wrapText="1"/>
    </xf>
    <xf numFmtId="0" fontId="21" fillId="0" borderId="0" xfId="1" applyFont="1" applyBorder="1" applyAlignment="1">
      <alignment horizontal="left" vertical="top" wrapText="1"/>
    </xf>
    <xf numFmtId="0" fontId="23" fillId="0" borderId="0" xfId="1" applyFont="1" applyBorder="1" applyAlignment="1">
      <alignment horizontal="left" vertical="top" wrapText="1"/>
    </xf>
    <xf numFmtId="0" fontId="20" fillId="0" borderId="35" xfId="1" applyFont="1" applyFill="1" applyBorder="1" applyAlignment="1">
      <alignment horizontal="center" vertical="top"/>
    </xf>
    <xf numFmtId="164" fontId="2" fillId="5" borderId="4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5" borderId="48" xfId="0" applyNumberFormat="1" applyFont="1" applyFill="1" applyBorder="1" applyAlignment="1">
      <alignment horizontal="center" vertical="top" wrapText="1"/>
    </xf>
    <xf numFmtId="164" fontId="2" fillId="5" borderId="2" xfId="0" applyNumberFormat="1" applyFont="1" applyFill="1" applyBorder="1" applyAlignment="1">
      <alignment horizontal="center" vertical="top" wrapText="1"/>
    </xf>
    <xf numFmtId="164" fontId="2" fillId="5" borderId="31" xfId="0" applyNumberFormat="1" applyFont="1" applyFill="1" applyBorder="1" applyAlignment="1">
      <alignment horizontal="center" vertical="top" wrapText="1"/>
    </xf>
    <xf numFmtId="49" fontId="3" fillId="5" borderId="61" xfId="0" applyNumberFormat="1" applyFont="1" applyFill="1" applyBorder="1" applyAlignment="1">
      <alignment vertical="top"/>
    </xf>
    <xf numFmtId="49" fontId="3" fillId="5" borderId="72" xfId="0" applyNumberFormat="1" applyFont="1" applyFill="1" applyBorder="1" applyAlignment="1">
      <alignment vertical="top"/>
    </xf>
    <xf numFmtId="164" fontId="2" fillId="0" borderId="48" xfId="0" applyNumberFormat="1" applyFont="1" applyFill="1" applyBorder="1" applyAlignment="1">
      <alignment horizontal="center" vertical="top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20" fillId="0" borderId="49" xfId="1" applyFont="1" applyBorder="1" applyAlignment="1">
      <alignment horizontal="left"/>
    </xf>
    <xf numFmtId="0" fontId="13" fillId="0" borderId="49" xfId="1" applyFont="1" applyBorder="1" applyAlignment="1">
      <alignment horizontal="center" vertical="top"/>
    </xf>
    <xf numFmtId="0" fontId="13" fillId="0" borderId="4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distributed" wrapText="1"/>
    </xf>
    <xf numFmtId="0" fontId="13" fillId="5" borderId="29" xfId="0" applyFont="1" applyFill="1" applyBorder="1" applyAlignment="1">
      <alignment horizontal="center" vertical="top"/>
    </xf>
    <xf numFmtId="16" fontId="13" fillId="0" borderId="0" xfId="0" applyNumberFormat="1" applyFont="1" applyBorder="1"/>
    <xf numFmtId="0" fontId="13" fillId="5" borderId="29" xfId="0" applyFont="1" applyFill="1" applyBorder="1" applyAlignment="1">
      <alignment horizontal="center" vertical="center"/>
    </xf>
    <xf numFmtId="164" fontId="13" fillId="0" borderId="24" xfId="0" applyNumberFormat="1" applyFont="1" applyBorder="1" applyAlignment="1">
      <alignment vertical="top" wrapText="1"/>
    </xf>
    <xf numFmtId="164" fontId="2" fillId="0" borderId="8" xfId="0" applyNumberFormat="1" applyFont="1" applyBorder="1" applyAlignment="1">
      <alignment horizontal="center" vertical="top"/>
    </xf>
    <xf numFmtId="164" fontId="2" fillId="0" borderId="53" xfId="0" applyNumberFormat="1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top"/>
    </xf>
    <xf numFmtId="0" fontId="3" fillId="7" borderId="14" xfId="0" applyFont="1" applyFill="1" applyBorder="1" applyAlignment="1">
      <alignment vertical="center" wrapText="1"/>
    </xf>
    <xf numFmtId="164" fontId="4" fillId="7" borderId="4" xfId="0" applyNumberFormat="1" applyFont="1" applyFill="1" applyBorder="1" applyAlignment="1">
      <alignment horizontal="center" vertical="top" wrapText="1"/>
    </xf>
    <xf numFmtId="164" fontId="4" fillId="7" borderId="2" xfId="0" applyNumberFormat="1" applyFont="1" applyFill="1" applyBorder="1" applyAlignment="1">
      <alignment horizontal="center" vertical="top" wrapText="1"/>
    </xf>
    <xf numFmtId="164" fontId="30" fillId="7" borderId="31" xfId="0" applyNumberFormat="1" applyFont="1" applyFill="1" applyBorder="1" applyAlignment="1">
      <alignment horizontal="center" vertical="top" wrapText="1"/>
    </xf>
    <xf numFmtId="0" fontId="3" fillId="7" borderId="19" xfId="0" applyFont="1" applyFill="1" applyBorder="1" applyAlignment="1">
      <alignment vertical="center" wrapText="1"/>
    </xf>
    <xf numFmtId="164" fontId="4" fillId="7" borderId="10" xfId="0" applyNumberFormat="1" applyFont="1" applyFill="1" applyBorder="1" applyAlignment="1">
      <alignment horizontal="center" vertical="top" wrapText="1"/>
    </xf>
    <xf numFmtId="164" fontId="10" fillId="7" borderId="4" xfId="0" applyNumberFormat="1" applyFont="1" applyFill="1" applyBorder="1" applyAlignment="1">
      <alignment horizontal="center" vertical="top" wrapText="1"/>
    </xf>
    <xf numFmtId="164" fontId="10" fillId="7" borderId="7" xfId="0" applyNumberFormat="1" applyFont="1" applyFill="1" applyBorder="1" applyAlignment="1">
      <alignment horizontal="center" vertical="top" wrapText="1"/>
    </xf>
    <xf numFmtId="164" fontId="10" fillId="7" borderId="73" xfId="0" applyNumberFormat="1" applyFont="1" applyFill="1" applyBorder="1" applyAlignment="1">
      <alignment horizontal="center" vertical="top" wrapText="1"/>
    </xf>
    <xf numFmtId="164" fontId="4" fillId="7" borderId="6" xfId="0" applyNumberFormat="1" applyFont="1" applyFill="1" applyBorder="1" applyAlignment="1">
      <alignment horizontal="center" vertical="top" wrapText="1"/>
    </xf>
    <xf numFmtId="164" fontId="10" fillId="7" borderId="4" xfId="0" applyNumberFormat="1" applyFont="1" applyFill="1" applyBorder="1" applyAlignment="1">
      <alignment horizontal="center" vertical="top"/>
    </xf>
    <xf numFmtId="164" fontId="10" fillId="7" borderId="13" xfId="0" applyNumberFormat="1" applyFont="1" applyFill="1" applyBorder="1" applyAlignment="1">
      <alignment horizontal="center" vertical="top" wrapText="1"/>
    </xf>
    <xf numFmtId="164" fontId="10" fillId="7" borderId="8" xfId="0" applyNumberFormat="1" applyFont="1" applyFill="1" applyBorder="1" applyAlignment="1">
      <alignment horizontal="center" vertical="top" wrapText="1"/>
    </xf>
    <xf numFmtId="164" fontId="10" fillId="7" borderId="10" xfId="0" applyNumberFormat="1" applyFont="1" applyFill="1" applyBorder="1" applyAlignment="1">
      <alignment horizontal="center" vertical="top" wrapText="1"/>
    </xf>
    <xf numFmtId="0" fontId="3" fillId="7" borderId="73" xfId="0" applyFont="1" applyFill="1" applyBorder="1" applyAlignment="1">
      <alignment horizontal="center" vertical="top"/>
    </xf>
    <xf numFmtId="164" fontId="3" fillId="7" borderId="74" xfId="0" applyNumberFormat="1" applyFont="1" applyFill="1" applyBorder="1" applyAlignment="1">
      <alignment horizontal="center" vertical="center"/>
    </xf>
    <xf numFmtId="164" fontId="3" fillId="7" borderId="36" xfId="0" applyNumberFormat="1" applyFont="1" applyFill="1" applyBorder="1" applyAlignment="1">
      <alignment horizontal="center" vertical="center"/>
    </xf>
    <xf numFmtId="164" fontId="3" fillId="7" borderId="75" xfId="0" applyNumberFormat="1" applyFont="1" applyFill="1" applyBorder="1" applyAlignment="1">
      <alignment horizontal="center" vertical="center"/>
    </xf>
    <xf numFmtId="164" fontId="3" fillId="7" borderId="73" xfId="0" applyNumberFormat="1" applyFont="1" applyFill="1" applyBorder="1" applyAlignment="1">
      <alignment horizontal="center" vertical="center"/>
    </xf>
    <xf numFmtId="164" fontId="3" fillId="7" borderId="76" xfId="0" applyNumberFormat="1" applyFont="1" applyFill="1" applyBorder="1" applyAlignment="1">
      <alignment horizontal="center" vertical="center"/>
    </xf>
    <xf numFmtId="164" fontId="3" fillId="7" borderId="74" xfId="0" applyNumberFormat="1" applyFont="1" applyFill="1" applyBorder="1" applyAlignment="1">
      <alignment horizontal="center" vertical="top"/>
    </xf>
    <xf numFmtId="164" fontId="3" fillId="7" borderId="36" xfId="0" applyNumberFormat="1" applyFont="1" applyFill="1" applyBorder="1" applyAlignment="1">
      <alignment horizontal="center" vertical="top"/>
    </xf>
    <xf numFmtId="164" fontId="3" fillId="7" borderId="75" xfId="0" applyNumberFormat="1" applyFont="1" applyFill="1" applyBorder="1" applyAlignment="1">
      <alignment horizontal="center" vertical="top"/>
    </xf>
    <xf numFmtId="164" fontId="3" fillId="7" borderId="77" xfId="0" applyNumberFormat="1" applyFont="1" applyFill="1" applyBorder="1" applyAlignment="1">
      <alignment horizontal="center" vertical="top" wrapText="1"/>
    </xf>
    <xf numFmtId="164" fontId="3" fillId="7" borderId="73" xfId="0" applyNumberFormat="1" applyFont="1" applyFill="1" applyBorder="1" applyAlignment="1">
      <alignment horizontal="center" vertical="top" wrapText="1"/>
    </xf>
    <xf numFmtId="164" fontId="3" fillId="7" borderId="78" xfId="0" applyNumberFormat="1" applyFont="1" applyFill="1" applyBorder="1" applyAlignment="1">
      <alignment horizontal="center" vertical="top"/>
    </xf>
    <xf numFmtId="164" fontId="3" fillId="7" borderId="79" xfId="0" applyNumberFormat="1" applyFont="1" applyFill="1" applyBorder="1" applyAlignment="1">
      <alignment horizontal="center" vertical="top"/>
    </xf>
    <xf numFmtId="164" fontId="3" fillId="7" borderId="73" xfId="0" applyNumberFormat="1" applyFont="1" applyFill="1" applyBorder="1" applyAlignment="1">
      <alignment horizontal="center" vertical="top"/>
    </xf>
    <xf numFmtId="164" fontId="3" fillId="7" borderId="76" xfId="0" applyNumberFormat="1" applyFont="1" applyFill="1" applyBorder="1" applyAlignment="1">
      <alignment horizontal="center" vertical="top"/>
    </xf>
    <xf numFmtId="0" fontId="3" fillId="7" borderId="73" xfId="0" applyFont="1" applyFill="1" applyBorder="1" applyAlignment="1">
      <alignment horizontal="right" vertical="top" wrapText="1"/>
    </xf>
    <xf numFmtId="164" fontId="2" fillId="7" borderId="39" xfId="0" applyNumberFormat="1" applyFont="1" applyFill="1" applyBorder="1" applyAlignment="1">
      <alignment horizontal="center" vertical="center"/>
    </xf>
    <xf numFmtId="164" fontId="2" fillId="7" borderId="38" xfId="0" applyNumberFormat="1" applyFont="1" applyFill="1" applyBorder="1" applyAlignment="1">
      <alignment horizontal="center" vertical="center"/>
    </xf>
    <xf numFmtId="164" fontId="2" fillId="7" borderId="40" xfId="0" applyNumberFormat="1" applyFont="1" applyFill="1" applyBorder="1" applyAlignment="1">
      <alignment horizontal="center" vertical="center"/>
    </xf>
    <xf numFmtId="164" fontId="2" fillId="7" borderId="42" xfId="0" applyNumberFormat="1" applyFont="1" applyFill="1" applyBorder="1" applyAlignment="1">
      <alignment horizontal="center" vertical="center"/>
    </xf>
    <xf numFmtId="164" fontId="2" fillId="7" borderId="29" xfId="0" applyNumberFormat="1" applyFont="1" applyFill="1" applyBorder="1" applyAlignment="1">
      <alignment horizontal="center" vertical="center"/>
    </xf>
    <xf numFmtId="164" fontId="2" fillId="7" borderId="44" xfId="0" applyNumberFormat="1" applyFont="1" applyFill="1" applyBorder="1" applyAlignment="1">
      <alignment horizontal="center" vertical="center"/>
    </xf>
    <xf numFmtId="164" fontId="2" fillId="7" borderId="54" xfId="0" applyNumberFormat="1" applyFont="1" applyFill="1" applyBorder="1" applyAlignment="1">
      <alignment horizontal="center" vertical="center"/>
    </xf>
    <xf numFmtId="164" fontId="2" fillId="7" borderId="24" xfId="0" applyNumberFormat="1" applyFont="1" applyFill="1" applyBorder="1" applyAlignment="1">
      <alignment horizontal="center" vertical="center"/>
    </xf>
    <xf numFmtId="164" fontId="2" fillId="7" borderId="28" xfId="0" applyNumberFormat="1" applyFont="1" applyFill="1" applyBorder="1" applyAlignment="1">
      <alignment horizontal="center" vertical="center"/>
    </xf>
    <xf numFmtId="164" fontId="2" fillId="7" borderId="46" xfId="0" applyNumberFormat="1" applyFont="1" applyFill="1" applyBorder="1" applyAlignment="1">
      <alignment horizontal="center" vertical="center"/>
    </xf>
    <xf numFmtId="164" fontId="2" fillId="7" borderId="40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4" fontId="2" fillId="7" borderId="29" xfId="0" applyNumberFormat="1" applyFont="1" applyFill="1" applyBorder="1" applyAlignment="1">
      <alignment horizontal="center" vertical="top"/>
    </xf>
    <xf numFmtId="164" fontId="2" fillId="7" borderId="44" xfId="0" applyNumberFormat="1" applyFont="1" applyFill="1" applyBorder="1" applyAlignment="1">
      <alignment horizontal="center" vertical="top"/>
    </xf>
    <xf numFmtId="164" fontId="2" fillId="7" borderId="45" xfId="0" applyNumberFormat="1" applyFont="1" applyFill="1" applyBorder="1" applyAlignment="1">
      <alignment horizontal="center" vertical="top"/>
    </xf>
    <xf numFmtId="164" fontId="2" fillId="7" borderId="28" xfId="0" applyNumberFormat="1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center" vertical="top"/>
    </xf>
    <xf numFmtId="164" fontId="2" fillId="7" borderId="54" xfId="0" applyNumberFormat="1" applyFont="1" applyFill="1" applyBorder="1" applyAlignment="1">
      <alignment horizontal="center" vertical="top"/>
    </xf>
    <xf numFmtId="164" fontId="2" fillId="7" borderId="24" xfId="0" applyNumberFormat="1" applyFont="1" applyFill="1" applyBorder="1" applyAlignment="1">
      <alignment horizontal="center" vertical="top"/>
    </xf>
    <xf numFmtId="164" fontId="2" fillId="7" borderId="55" xfId="0" applyNumberFormat="1" applyFont="1" applyFill="1" applyBorder="1" applyAlignment="1">
      <alignment horizontal="center" vertical="top"/>
    </xf>
    <xf numFmtId="164" fontId="5" fillId="7" borderId="74" xfId="0" applyNumberFormat="1" applyFont="1" applyFill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164" fontId="5" fillId="7" borderId="78" xfId="0" applyNumberFormat="1" applyFont="1" applyFill="1" applyBorder="1" applyAlignment="1">
      <alignment horizontal="center" vertical="top"/>
    </xf>
    <xf numFmtId="164" fontId="5" fillId="7" borderId="79" xfId="0" applyNumberFormat="1" applyFont="1" applyFill="1" applyBorder="1" applyAlignment="1">
      <alignment horizontal="center" vertical="top"/>
    </xf>
    <xf numFmtId="164" fontId="5" fillId="7" borderId="73" xfId="0" applyNumberFormat="1" applyFont="1" applyFill="1" applyBorder="1" applyAlignment="1">
      <alignment horizontal="center" vertical="top"/>
    </xf>
    <xf numFmtId="164" fontId="5" fillId="7" borderId="76" xfId="0" applyNumberFormat="1" applyFont="1" applyFill="1" applyBorder="1" applyAlignment="1">
      <alignment horizontal="center" vertical="top"/>
    </xf>
    <xf numFmtId="0" fontId="3" fillId="7" borderId="10" xfId="0" applyFont="1" applyFill="1" applyBorder="1" applyAlignment="1">
      <alignment horizontal="right" vertical="top" wrapText="1"/>
    </xf>
    <xf numFmtId="164" fontId="5" fillId="7" borderId="80" xfId="0" applyNumberFormat="1" applyFont="1" applyFill="1" applyBorder="1" applyAlignment="1">
      <alignment horizontal="center" vertical="top"/>
    </xf>
    <xf numFmtId="0" fontId="3" fillId="7" borderId="77" xfId="0" applyFont="1" applyFill="1" applyBorder="1" applyAlignment="1">
      <alignment horizontal="center" vertical="top"/>
    </xf>
    <xf numFmtId="164" fontId="3" fillId="7" borderId="80" xfId="0" applyNumberFormat="1" applyFont="1" applyFill="1" applyBorder="1" applyAlignment="1">
      <alignment horizontal="center" vertical="top"/>
    </xf>
    <xf numFmtId="0" fontId="2" fillId="7" borderId="46" xfId="0" applyNumberFormat="1" applyFont="1" applyFill="1" applyBorder="1" applyAlignment="1">
      <alignment horizontal="center" vertical="center"/>
    </xf>
    <xf numFmtId="164" fontId="2" fillId="7" borderId="58" xfId="0" applyNumberFormat="1" applyFont="1" applyFill="1" applyBorder="1" applyAlignment="1">
      <alignment horizontal="center" vertical="top" wrapText="1"/>
    </xf>
    <xf numFmtId="164" fontId="2" fillId="7" borderId="59" xfId="0" applyNumberFormat="1" applyFont="1" applyFill="1" applyBorder="1" applyAlignment="1">
      <alignment horizontal="center" vertical="top" wrapText="1"/>
    </xf>
    <xf numFmtId="164" fontId="2" fillId="7" borderId="60" xfId="0" applyNumberFormat="1" applyFont="1" applyFill="1" applyBorder="1" applyAlignment="1">
      <alignment horizontal="center" vertical="top" wrapText="1"/>
    </xf>
    <xf numFmtId="164" fontId="3" fillId="7" borderId="74" xfId="0" applyNumberFormat="1" applyFont="1" applyFill="1" applyBorder="1" applyAlignment="1">
      <alignment horizontal="center" vertical="top" wrapText="1"/>
    </xf>
    <xf numFmtId="164" fontId="3" fillId="7" borderId="36" xfId="0" applyNumberFormat="1" applyFont="1" applyFill="1" applyBorder="1" applyAlignment="1">
      <alignment horizontal="center" vertical="top" wrapText="1"/>
    </xf>
    <xf numFmtId="164" fontId="3" fillId="7" borderId="78" xfId="0" applyNumberFormat="1" applyFont="1" applyFill="1" applyBorder="1" applyAlignment="1">
      <alignment horizontal="center" vertical="top" wrapText="1"/>
    </xf>
    <xf numFmtId="164" fontId="3" fillId="7" borderId="80" xfId="0" applyNumberFormat="1" applyFont="1" applyFill="1" applyBorder="1" applyAlignment="1">
      <alignment horizontal="center" vertical="top" wrapText="1"/>
    </xf>
    <xf numFmtId="164" fontId="3" fillId="7" borderId="76" xfId="0" applyNumberFormat="1" applyFont="1" applyFill="1" applyBorder="1" applyAlignment="1">
      <alignment horizontal="center" vertical="top" wrapText="1"/>
    </xf>
    <xf numFmtId="0" fontId="3" fillId="7" borderId="77" xfId="0" applyFont="1" applyFill="1" applyBorder="1" applyAlignment="1">
      <alignment horizontal="right" vertical="top" wrapText="1"/>
    </xf>
    <xf numFmtId="164" fontId="3" fillId="7" borderId="75" xfId="0" applyNumberFormat="1" applyFont="1" applyFill="1" applyBorder="1" applyAlignment="1">
      <alignment horizontal="center" vertical="top" wrapText="1"/>
    </xf>
    <xf numFmtId="164" fontId="3" fillId="7" borderId="79" xfId="0" applyNumberFormat="1" applyFont="1" applyFill="1" applyBorder="1" applyAlignment="1">
      <alignment horizontal="center" vertical="top" wrapText="1"/>
    </xf>
    <xf numFmtId="164" fontId="2" fillId="7" borderId="45" xfId="0" applyNumberFormat="1" applyFont="1" applyFill="1" applyBorder="1" applyAlignment="1">
      <alignment horizontal="center" vertical="top" wrapText="1"/>
    </xf>
    <xf numFmtId="164" fontId="2" fillId="7" borderId="28" xfId="0" applyNumberFormat="1" applyFont="1" applyFill="1" applyBorder="1" applyAlignment="1">
      <alignment horizontal="center" vertical="top" wrapText="1"/>
    </xf>
    <xf numFmtId="164" fontId="2" fillId="7" borderId="46" xfId="0" applyNumberFormat="1" applyFont="1" applyFill="1" applyBorder="1" applyAlignment="1">
      <alignment horizontal="center" vertical="top" wrapText="1"/>
    </xf>
    <xf numFmtId="164" fontId="2" fillId="7" borderId="48" xfId="0" applyNumberFormat="1" applyFont="1" applyFill="1" applyBorder="1" applyAlignment="1">
      <alignment horizontal="center" vertical="top" wrapText="1"/>
    </xf>
    <xf numFmtId="164" fontId="2" fillId="7" borderId="49" xfId="0" applyNumberFormat="1" applyFont="1" applyFill="1" applyBorder="1" applyAlignment="1">
      <alignment horizontal="center" vertical="top" wrapText="1"/>
    </xf>
    <xf numFmtId="164" fontId="2" fillId="7" borderId="66" xfId="0" applyNumberFormat="1" applyFont="1" applyFill="1" applyBorder="1" applyAlignment="1">
      <alignment horizontal="center" vertical="top" wrapText="1"/>
    </xf>
    <xf numFmtId="164" fontId="2" fillId="7" borderId="42" xfId="0" applyNumberFormat="1" applyFont="1" applyFill="1" applyBorder="1" applyAlignment="1">
      <alignment horizontal="center" vertical="top" wrapText="1"/>
    </xf>
    <xf numFmtId="164" fontId="2" fillId="7" borderId="29" xfId="0" applyNumberFormat="1" applyFont="1" applyFill="1" applyBorder="1" applyAlignment="1">
      <alignment horizontal="center" vertical="top" wrapText="1"/>
    </xf>
    <xf numFmtId="164" fontId="2" fillId="7" borderId="44" xfId="0" applyNumberFormat="1" applyFont="1" applyFill="1" applyBorder="1" applyAlignment="1">
      <alignment horizontal="center" vertical="top" wrapText="1"/>
    </xf>
    <xf numFmtId="164" fontId="2" fillId="7" borderId="39" xfId="0" applyNumberFormat="1" applyFont="1" applyFill="1" applyBorder="1" applyAlignment="1">
      <alignment horizontal="center" vertical="top" wrapText="1"/>
    </xf>
    <xf numFmtId="164" fontId="2" fillId="7" borderId="38" xfId="0" applyNumberFormat="1" applyFont="1" applyFill="1" applyBorder="1" applyAlignment="1">
      <alignment horizontal="center" vertical="top" wrapText="1"/>
    </xf>
    <xf numFmtId="164" fontId="2" fillId="7" borderId="40" xfId="0" applyNumberFormat="1" applyFont="1" applyFill="1" applyBorder="1" applyAlignment="1">
      <alignment horizontal="center" vertical="top" wrapText="1"/>
    </xf>
    <xf numFmtId="164" fontId="2" fillId="7" borderId="39" xfId="0" applyNumberFormat="1" applyFont="1" applyFill="1" applyBorder="1" applyAlignment="1">
      <alignment horizontal="center" vertical="top"/>
    </xf>
    <xf numFmtId="164" fontId="2" fillId="7" borderId="38" xfId="0" applyNumberFormat="1" applyFont="1" applyFill="1" applyBorder="1" applyAlignment="1">
      <alignment horizontal="center" vertical="top"/>
    </xf>
    <xf numFmtId="164" fontId="5" fillId="2" borderId="9" xfId="0" applyNumberFormat="1" applyFont="1" applyFill="1" applyBorder="1" applyAlignment="1">
      <alignment horizontal="center" vertical="center"/>
    </xf>
    <xf numFmtId="164" fontId="27" fillId="0" borderId="0" xfId="0" applyNumberFormat="1" applyFont="1"/>
    <xf numFmtId="49" fontId="6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49" fontId="6" fillId="0" borderId="57" xfId="0" applyNumberFormat="1" applyFont="1" applyBorder="1" applyAlignment="1">
      <alignment vertical="top" wrapText="1"/>
    </xf>
    <xf numFmtId="0" fontId="6" fillId="0" borderId="57" xfId="0" applyFont="1" applyBorder="1" applyAlignment="1">
      <alignment vertical="top" wrapText="1"/>
    </xf>
    <xf numFmtId="164" fontId="2" fillId="7" borderId="48" xfId="0" applyNumberFormat="1" applyFont="1" applyFill="1" applyBorder="1" applyAlignment="1">
      <alignment horizontal="center" vertical="top"/>
    </xf>
    <xf numFmtId="164" fontId="2" fillId="7" borderId="49" xfId="0" applyNumberFormat="1" applyFont="1" applyFill="1" applyBorder="1" applyAlignment="1">
      <alignment horizontal="center" vertical="top"/>
    </xf>
    <xf numFmtId="164" fontId="2" fillId="0" borderId="30" xfId="0" applyNumberFormat="1" applyFont="1" applyFill="1" applyBorder="1" applyAlignment="1">
      <alignment horizontal="center" vertical="top" wrapText="1"/>
    </xf>
    <xf numFmtId="164" fontId="40" fillId="7" borderId="42" xfId="0" applyNumberFormat="1" applyFont="1" applyFill="1" applyBorder="1" applyAlignment="1">
      <alignment horizontal="center" vertical="top"/>
    </xf>
    <xf numFmtId="164" fontId="40" fillId="7" borderId="29" xfId="0" applyNumberFormat="1" applyFont="1" applyFill="1" applyBorder="1" applyAlignment="1">
      <alignment horizontal="center" vertical="top"/>
    </xf>
    <xf numFmtId="164" fontId="40" fillId="7" borderId="54" xfId="0" applyNumberFormat="1" applyFont="1" applyFill="1" applyBorder="1" applyAlignment="1">
      <alignment horizontal="center" vertical="top"/>
    </xf>
    <xf numFmtId="164" fontId="40" fillId="7" borderId="24" xfId="0" applyNumberFormat="1" applyFont="1" applyFill="1" applyBorder="1" applyAlignment="1">
      <alignment horizontal="center" vertical="top"/>
    </xf>
    <xf numFmtId="0" fontId="40" fillId="0" borderId="16" xfId="0" applyFont="1" applyBorder="1" applyAlignment="1">
      <alignment horizontal="center" vertical="top" wrapText="1"/>
    </xf>
    <xf numFmtId="0" fontId="40" fillId="0" borderId="8" xfId="0" applyFont="1" applyBorder="1" applyAlignment="1">
      <alignment horizontal="center" vertical="top" wrapText="1"/>
    </xf>
    <xf numFmtId="164" fontId="40" fillId="7" borderId="45" xfId="0" applyNumberFormat="1" applyFont="1" applyFill="1" applyBorder="1" applyAlignment="1">
      <alignment horizontal="center" vertical="top"/>
    </xf>
    <xf numFmtId="164" fontId="40" fillId="7" borderId="28" xfId="0" applyNumberFormat="1" applyFont="1" applyFill="1" applyBorder="1" applyAlignment="1">
      <alignment horizontal="center" vertical="top"/>
    </xf>
    <xf numFmtId="0" fontId="1" fillId="0" borderId="0" xfId="0" applyFont="1"/>
    <xf numFmtId="0" fontId="13" fillId="0" borderId="0" xfId="0" applyFont="1"/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Border="1"/>
    <xf numFmtId="49" fontId="1" fillId="0" borderId="0" xfId="0" applyNumberFormat="1" applyFont="1"/>
    <xf numFmtId="0" fontId="1" fillId="0" borderId="29" xfId="0" applyFont="1" applyBorder="1"/>
    <xf numFmtId="0" fontId="20" fillId="0" borderId="50" xfId="1" applyFont="1" applyBorder="1" applyAlignment="1">
      <alignment horizontal="left" vertical="top" wrapText="1"/>
    </xf>
    <xf numFmtId="0" fontId="1" fillId="0" borderId="49" xfId="0" applyFont="1" applyBorder="1"/>
    <xf numFmtId="0" fontId="13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5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49" fontId="2" fillId="0" borderId="61" xfId="0" applyNumberFormat="1" applyFont="1" applyBorder="1" applyAlignment="1">
      <alignment horizontal="center" vertical="top"/>
    </xf>
    <xf numFmtId="49" fontId="2" fillId="0" borderId="72" xfId="0" applyNumberFormat="1" applyFont="1" applyBorder="1" applyAlignment="1">
      <alignment horizontal="center" vertical="top"/>
    </xf>
    <xf numFmtId="164" fontId="13" fillId="0" borderId="26" xfId="0" applyNumberFormat="1" applyFont="1" applyBorder="1" applyAlignment="1">
      <alignment horizontal="center" vertical="top" wrapText="1"/>
    </xf>
    <xf numFmtId="0" fontId="27" fillId="0" borderId="26" xfId="0" applyFont="1" applyBorder="1" applyAlignment="1">
      <alignment horizontal="center" vertical="top" wrapText="1"/>
    </xf>
    <xf numFmtId="0" fontId="27" fillId="0" borderId="56" xfId="0" applyFont="1" applyBorder="1" applyAlignment="1">
      <alignment horizontal="center" vertical="top" wrapText="1"/>
    </xf>
    <xf numFmtId="164" fontId="13" fillId="0" borderId="15" xfId="0" applyNumberFormat="1" applyFont="1" applyBorder="1" applyAlignment="1">
      <alignment horizontal="center" vertical="top" wrapText="1"/>
    </xf>
    <xf numFmtId="164" fontId="14" fillId="3" borderId="18" xfId="0" applyNumberFormat="1" applyFont="1" applyFill="1" applyBorder="1" applyAlignment="1">
      <alignment horizontal="center" vertical="top" wrapText="1"/>
    </xf>
    <xf numFmtId="164" fontId="14" fillId="3" borderId="65" xfId="0" applyNumberFormat="1" applyFont="1" applyFill="1" applyBorder="1" applyAlignment="1">
      <alignment horizontal="center" vertical="top" wrapText="1"/>
    </xf>
    <xf numFmtId="164" fontId="14" fillId="3" borderId="63" xfId="0" applyNumberFormat="1" applyFont="1" applyFill="1" applyBorder="1" applyAlignment="1">
      <alignment horizontal="center" vertical="top" wrapText="1"/>
    </xf>
    <xf numFmtId="164" fontId="13" fillId="0" borderId="56" xfId="0" applyNumberFormat="1" applyFont="1" applyBorder="1" applyAlignment="1">
      <alignment horizontal="center" vertical="top" wrapText="1"/>
    </xf>
    <xf numFmtId="164" fontId="14" fillId="7" borderId="19" xfId="0" applyNumberFormat="1" applyFont="1" applyFill="1" applyBorder="1" applyAlignment="1">
      <alignment horizontal="center" vertical="top" wrapText="1"/>
    </xf>
    <xf numFmtId="164" fontId="14" fillId="7" borderId="0" xfId="0" applyNumberFormat="1" applyFont="1" applyFill="1" applyAlignment="1">
      <alignment horizontal="center" vertical="top" wrapText="1"/>
    </xf>
    <xf numFmtId="164" fontId="14" fillId="7" borderId="71" xfId="0" applyNumberFormat="1" applyFont="1" applyFill="1" applyBorder="1" applyAlignment="1">
      <alignment horizontal="center" vertical="top" wrapText="1"/>
    </xf>
    <xf numFmtId="164" fontId="14" fillId="7" borderId="0" xfId="0" applyNumberFormat="1" applyFont="1" applyFill="1" applyBorder="1" applyAlignment="1">
      <alignment horizontal="center" vertical="top" wrapText="1"/>
    </xf>
    <xf numFmtId="49" fontId="3" fillId="4" borderId="39" xfId="0" applyNumberFormat="1" applyFont="1" applyFill="1" applyBorder="1" applyAlignment="1">
      <alignment horizontal="left" vertical="top"/>
    </xf>
    <xf numFmtId="49" fontId="3" fillId="4" borderId="74" xfId="0" applyNumberFormat="1" applyFont="1" applyFill="1" applyBorder="1" applyAlignment="1">
      <alignment horizontal="left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36" xfId="0" applyNumberFormat="1" applyFont="1" applyFill="1" applyBorder="1" applyAlignment="1">
      <alignment horizontal="center" vertical="top"/>
    </xf>
    <xf numFmtId="49" fontId="3" fillId="5" borderId="38" xfId="0" applyNumberFormat="1" applyFont="1" applyFill="1" applyBorder="1" applyAlignment="1">
      <alignment horizontal="left" vertical="top"/>
    </xf>
    <xf numFmtId="49" fontId="3" fillId="5" borderId="36" xfId="0" applyNumberFormat="1" applyFont="1" applyFill="1" applyBorder="1" applyAlignment="1">
      <alignment horizontal="left" vertical="top"/>
    </xf>
    <xf numFmtId="0" fontId="13" fillId="0" borderId="38" xfId="0" applyFont="1" applyFill="1" applyBorder="1" applyAlignment="1">
      <alignment horizontal="left" vertical="top" wrapText="1"/>
    </xf>
    <xf numFmtId="0" fontId="13" fillId="0" borderId="36" xfId="0" applyFont="1" applyFill="1" applyBorder="1" applyAlignment="1">
      <alignment horizontal="left" vertical="top" wrapText="1"/>
    </xf>
    <xf numFmtId="49" fontId="14" fillId="0" borderId="13" xfId="0" applyNumberFormat="1" applyFont="1" applyBorder="1" applyAlignment="1">
      <alignment horizontal="center" vertical="top"/>
    </xf>
    <xf numFmtId="49" fontId="14" fillId="0" borderId="73" xfId="0" applyNumberFormat="1" applyFont="1" applyBorder="1" applyAlignment="1">
      <alignment horizontal="center" vertical="top"/>
    </xf>
    <xf numFmtId="164" fontId="3" fillId="0" borderId="59" xfId="0" applyNumberFormat="1" applyFont="1" applyBorder="1" applyAlignment="1">
      <alignment horizontal="center" vertical="center" wrapText="1"/>
    </xf>
    <xf numFmtId="164" fontId="3" fillId="0" borderId="29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4" fontId="13" fillId="0" borderId="28" xfId="0" applyNumberFormat="1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left" vertical="top" wrapText="1"/>
    </xf>
    <xf numFmtId="0" fontId="3" fillId="0" borderId="59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49" fontId="3" fillId="2" borderId="20" xfId="0" applyNumberFormat="1" applyFont="1" applyFill="1" applyBorder="1" applyAlignment="1">
      <alignment horizontal="right" vertical="top"/>
    </xf>
    <xf numFmtId="49" fontId="3" fillId="2" borderId="37" xfId="0" applyNumberFormat="1" applyFont="1" applyFill="1" applyBorder="1" applyAlignment="1">
      <alignment horizontal="right" vertical="top"/>
    </xf>
    <xf numFmtId="49" fontId="3" fillId="2" borderId="70" xfId="0" applyNumberFormat="1" applyFont="1" applyFill="1" applyBorder="1" applyAlignment="1">
      <alignment horizontal="right" vertical="top"/>
    </xf>
    <xf numFmtId="0" fontId="41" fillId="0" borderId="59" xfId="0" applyFont="1" applyBorder="1" applyAlignment="1">
      <alignment horizontal="left" vertical="top" wrapText="1"/>
    </xf>
    <xf numFmtId="0" fontId="41" fillId="0" borderId="29" xfId="0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49" fontId="2" fillId="0" borderId="41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5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74" xfId="0" applyFont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4" fillId="0" borderId="82" xfId="0" applyFont="1" applyBorder="1" applyAlignment="1">
      <alignment horizontal="right" vertical="top"/>
    </xf>
    <xf numFmtId="0" fontId="2" fillId="0" borderId="6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72" xfId="0" applyFont="1" applyFill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67" xfId="0" applyFont="1" applyBorder="1" applyAlignment="1">
      <alignment horizontal="center" vertical="center" wrapText="1"/>
    </xf>
    <xf numFmtId="164" fontId="14" fillId="7" borderId="18" xfId="0" applyNumberFormat="1" applyFont="1" applyFill="1" applyBorder="1" applyAlignment="1">
      <alignment horizontal="center" vertical="top" wrapText="1"/>
    </xf>
    <xf numFmtId="164" fontId="14" fillId="7" borderId="65" xfId="0" applyNumberFormat="1" applyFont="1" applyFill="1" applyBorder="1" applyAlignment="1">
      <alignment horizontal="center" vertical="top" wrapText="1"/>
    </xf>
    <xf numFmtId="164" fontId="14" fillId="7" borderId="63" xfId="0" applyNumberFormat="1" applyFont="1" applyFill="1" applyBorder="1" applyAlignment="1">
      <alignment horizontal="center" vertical="top" wrapText="1"/>
    </xf>
    <xf numFmtId="0" fontId="3" fillId="4" borderId="65" xfId="0" applyFont="1" applyFill="1" applyBorder="1" applyAlignment="1">
      <alignment horizontal="left" vertical="top"/>
    </xf>
    <xf numFmtId="0" fontId="3" fillId="4" borderId="63" xfId="0" applyFont="1" applyFill="1" applyBorder="1" applyAlignment="1">
      <alignment horizontal="left" vertical="top"/>
    </xf>
    <xf numFmtId="49" fontId="3" fillId="6" borderId="12" xfId="0" applyNumberFormat="1" applyFont="1" applyFill="1" applyBorder="1" applyAlignment="1">
      <alignment horizontal="left" vertical="top" wrapText="1"/>
    </xf>
    <xf numFmtId="0" fontId="27" fillId="0" borderId="41" xfId="0" applyFont="1" applyBorder="1"/>
    <xf numFmtId="0" fontId="27" fillId="0" borderId="51" xfId="0" applyFont="1" applyBorder="1"/>
    <xf numFmtId="0" fontId="2" fillId="0" borderId="62" xfId="0" applyNumberFormat="1" applyFont="1" applyBorder="1" applyAlignment="1">
      <alignment horizontal="center" vertical="center" textRotation="90" wrapText="1"/>
    </xf>
    <xf numFmtId="0" fontId="2" fillId="0" borderId="6" xfId="0" applyNumberFormat="1" applyFont="1" applyBorder="1" applyAlignment="1">
      <alignment horizontal="center" vertical="center" textRotation="90" wrapText="1"/>
    </xf>
    <xf numFmtId="0" fontId="2" fillId="0" borderId="10" xfId="0" applyNumberFormat="1" applyFont="1" applyBorder="1" applyAlignment="1">
      <alignment horizontal="center" vertical="center" textRotation="90" wrapText="1"/>
    </xf>
    <xf numFmtId="164" fontId="13" fillId="0" borderId="16" xfId="0" applyNumberFormat="1" applyFont="1" applyBorder="1" applyAlignment="1">
      <alignment horizontal="center" vertical="top" wrapText="1"/>
    </xf>
    <xf numFmtId="164" fontId="13" fillId="0" borderId="30" xfId="0" applyNumberFormat="1" applyFont="1" applyBorder="1" applyAlignment="1">
      <alignment horizontal="center" vertical="top" wrapText="1"/>
    </xf>
    <xf numFmtId="164" fontId="13" fillId="0" borderId="53" xfId="0" applyNumberFormat="1" applyFont="1" applyBorder="1" applyAlignment="1">
      <alignment horizontal="center" vertical="top" wrapText="1"/>
    </xf>
    <xf numFmtId="0" fontId="2" fillId="0" borderId="59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49" fontId="14" fillId="0" borderId="81" xfId="0" applyNumberFormat="1" applyFont="1" applyBorder="1" applyAlignment="1">
      <alignment horizontal="center" vertical="top"/>
    </xf>
    <xf numFmtId="49" fontId="14" fillId="0" borderId="19" xfId="0" applyNumberFormat="1" applyFont="1" applyBorder="1" applyAlignment="1">
      <alignment horizontal="center" vertical="top"/>
    </xf>
    <xf numFmtId="49" fontId="14" fillId="0" borderId="17" xfId="0" applyNumberFormat="1" applyFont="1" applyBorder="1" applyAlignment="1">
      <alignment horizontal="center" vertical="top"/>
    </xf>
    <xf numFmtId="0" fontId="3" fillId="3" borderId="42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44" xfId="0" applyFont="1" applyFill="1" applyBorder="1" applyAlignment="1">
      <alignment horizontal="center" vertical="top" wrapText="1"/>
    </xf>
    <xf numFmtId="0" fontId="2" fillId="0" borderId="74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78" xfId="0" applyFont="1" applyBorder="1" applyAlignment="1">
      <alignment horizontal="left" vertical="top" wrapText="1"/>
    </xf>
    <xf numFmtId="0" fontId="2" fillId="7" borderId="74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2" fillId="7" borderId="78" xfId="0" applyFont="1" applyFill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164" fontId="13" fillId="0" borderId="50" xfId="0" applyNumberFormat="1" applyFont="1" applyBorder="1" applyAlignment="1">
      <alignment horizontal="center" vertical="top" wrapText="1"/>
    </xf>
    <xf numFmtId="164" fontId="13" fillId="0" borderId="31" xfId="0" applyNumberFormat="1" applyFont="1" applyBorder="1" applyAlignment="1">
      <alignment horizontal="center" vertical="top" wrapText="1"/>
    </xf>
    <xf numFmtId="0" fontId="3" fillId="7" borderId="18" xfId="0" applyFont="1" applyFill="1" applyBorder="1" applyAlignment="1">
      <alignment horizontal="right" vertical="top" wrapText="1"/>
    </xf>
    <xf numFmtId="0" fontId="3" fillId="7" borderId="65" xfId="0" applyFont="1" applyFill="1" applyBorder="1" applyAlignment="1">
      <alignment horizontal="right" vertical="top" wrapText="1"/>
    </xf>
    <xf numFmtId="0" fontId="3" fillId="7" borderId="63" xfId="0" applyFont="1" applyFill="1" applyBorder="1" applyAlignment="1">
      <alignment horizontal="right" vertical="top" wrapText="1"/>
    </xf>
    <xf numFmtId="0" fontId="2" fillId="5" borderId="39" xfId="0" applyFont="1" applyFill="1" applyBorder="1" applyAlignment="1">
      <alignment horizontal="left" vertical="top" wrapText="1"/>
    </xf>
    <xf numFmtId="0" fontId="2" fillId="5" borderId="38" xfId="0" applyFont="1" applyFill="1" applyBorder="1" applyAlignment="1">
      <alignment horizontal="left" vertical="top" wrapText="1"/>
    </xf>
    <xf numFmtId="0" fontId="2" fillId="5" borderId="40" xfId="0" applyFont="1" applyFill="1" applyBorder="1" applyAlignment="1">
      <alignment horizontal="left" vertical="top" wrapText="1"/>
    </xf>
    <xf numFmtId="49" fontId="2" fillId="0" borderId="64" xfId="0" applyNumberFormat="1" applyFont="1" applyBorder="1" applyAlignment="1">
      <alignment horizontal="center" vertical="top" wrapText="1"/>
    </xf>
    <xf numFmtId="49" fontId="2" fillId="0" borderId="71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3" fillId="4" borderId="39" xfId="0" applyNumberFormat="1" applyFont="1" applyFill="1" applyBorder="1" applyAlignment="1">
      <alignment horizontal="center" vertical="top"/>
    </xf>
    <xf numFmtId="49" fontId="3" fillId="4" borderId="42" xfId="0" applyNumberFormat="1" applyFont="1" applyFill="1" applyBorder="1" applyAlignment="1">
      <alignment horizontal="center" vertical="top"/>
    </xf>
    <xf numFmtId="49" fontId="3" fillId="4" borderId="74" xfId="0" applyNumberFormat="1" applyFont="1" applyFill="1" applyBorder="1" applyAlignment="1">
      <alignment horizontal="center" vertical="top"/>
    </xf>
    <xf numFmtId="49" fontId="3" fillId="0" borderId="38" xfId="0" applyNumberFormat="1" applyFont="1" applyBorder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 vertical="top"/>
    </xf>
    <xf numFmtId="0" fontId="2" fillId="0" borderId="47" xfId="0" applyFont="1" applyFill="1" applyBorder="1" applyAlignment="1">
      <alignment vertical="top" wrapText="1"/>
    </xf>
    <xf numFmtId="0" fontId="2" fillId="0" borderId="43" xfId="0" applyFont="1" applyFill="1" applyBorder="1" applyAlignment="1">
      <alignment vertical="top" wrapText="1"/>
    </xf>
    <xf numFmtId="0" fontId="2" fillId="0" borderId="79" xfId="0" applyFont="1" applyFill="1" applyBorder="1" applyAlignment="1">
      <alignment vertical="top" wrapText="1"/>
    </xf>
    <xf numFmtId="0" fontId="14" fillId="0" borderId="59" xfId="0" applyFont="1" applyFill="1" applyBorder="1" applyAlignment="1">
      <alignment horizontal="center" vertical="center" textRotation="90" wrapText="1"/>
    </xf>
    <xf numFmtId="0" fontId="14" fillId="0" borderId="29" xfId="0" applyFont="1" applyFill="1" applyBorder="1" applyAlignment="1">
      <alignment horizontal="center" vertical="center" textRotation="90" wrapText="1"/>
    </xf>
    <xf numFmtId="0" fontId="14" fillId="0" borderId="1" xfId="0" applyFont="1" applyFill="1" applyBorder="1" applyAlignment="1">
      <alignment horizontal="center" vertical="center" textRotation="90" wrapText="1"/>
    </xf>
    <xf numFmtId="49" fontId="3" fillId="2" borderId="67" xfId="0" applyNumberFormat="1" applyFont="1" applyFill="1" applyBorder="1" applyAlignment="1">
      <alignment horizontal="center" vertical="top"/>
    </xf>
    <xf numFmtId="49" fontId="3" fillId="2" borderId="35" xfId="0" applyNumberFormat="1" applyFont="1" applyFill="1" applyBorder="1" applyAlignment="1">
      <alignment horizontal="center" vertical="top"/>
    </xf>
    <xf numFmtId="49" fontId="3" fillId="2" borderId="80" xfId="0" applyNumberFormat="1" applyFont="1" applyFill="1" applyBorder="1" applyAlignment="1">
      <alignment horizontal="center" vertical="top"/>
    </xf>
    <xf numFmtId="49" fontId="3" fillId="4" borderId="45" xfId="0" applyNumberFormat="1" applyFont="1" applyFill="1" applyBorder="1" applyAlignment="1">
      <alignment horizontal="center" vertical="top"/>
    </xf>
    <xf numFmtId="49" fontId="2" fillId="0" borderId="64" xfId="0" applyNumberFormat="1" applyFont="1" applyBorder="1" applyAlignment="1">
      <alignment horizontal="center" vertical="top"/>
    </xf>
    <xf numFmtId="49" fontId="2" fillId="0" borderId="71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center" vertical="top"/>
    </xf>
    <xf numFmtId="49" fontId="3" fillId="2" borderId="52" xfId="0" applyNumberFormat="1" applyFont="1" applyFill="1" applyBorder="1" applyAlignment="1">
      <alignment horizontal="center" vertical="top"/>
    </xf>
    <xf numFmtId="49" fontId="3" fillId="2" borderId="79" xfId="0" applyNumberFormat="1" applyFont="1" applyFill="1" applyBorder="1" applyAlignment="1">
      <alignment horizontal="center" vertical="top"/>
    </xf>
    <xf numFmtId="49" fontId="3" fillId="0" borderId="28" xfId="0" applyNumberFormat="1" applyFont="1" applyBorder="1" applyAlignment="1">
      <alignment horizontal="center" vertical="top"/>
    </xf>
    <xf numFmtId="0" fontId="2" fillId="0" borderId="61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72" xfId="0" applyFont="1" applyFill="1" applyBorder="1" applyAlignment="1">
      <alignment horizontal="left" vertical="top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79" xfId="0" applyFont="1" applyBorder="1" applyAlignment="1">
      <alignment horizontal="center" vertical="center" textRotation="90" wrapText="1"/>
    </xf>
    <xf numFmtId="164" fontId="3" fillId="0" borderId="59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49" fontId="3" fillId="2" borderId="5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Border="1" applyAlignment="1">
      <alignment horizontal="left" vertical="top" wrapText="1"/>
    </xf>
    <xf numFmtId="49" fontId="3" fillId="2" borderId="71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4" borderId="39" xfId="0" applyNumberFormat="1" applyFont="1" applyFill="1" applyBorder="1" applyAlignment="1">
      <alignment horizontal="center" vertical="top" wrapText="1"/>
    </xf>
    <xf numFmtId="49" fontId="3" fillId="4" borderId="42" xfId="0" applyNumberFormat="1" applyFont="1" applyFill="1" applyBorder="1" applyAlignment="1">
      <alignment horizontal="center" vertical="top" wrapText="1"/>
    </xf>
    <xf numFmtId="49" fontId="3" fillId="4" borderId="74" xfId="0" applyNumberFormat="1" applyFont="1" applyFill="1" applyBorder="1" applyAlignment="1">
      <alignment horizontal="center" vertical="top" wrapText="1"/>
    </xf>
    <xf numFmtId="49" fontId="5" fillId="4" borderId="58" xfId="0" applyNumberFormat="1" applyFont="1" applyFill="1" applyBorder="1" applyAlignment="1">
      <alignment horizontal="center" vertical="top" wrapText="1"/>
    </xf>
    <xf numFmtId="0" fontId="24" fillId="0" borderId="21" xfId="0" applyFont="1" applyBorder="1" applyAlignment="1">
      <alignment horizontal="center" vertical="top" wrapText="1"/>
    </xf>
    <xf numFmtId="49" fontId="5" fillId="2" borderId="61" xfId="0" applyNumberFormat="1" applyFont="1" applyFill="1" applyBorder="1" applyAlignment="1">
      <alignment horizontal="center" vertical="top" wrapText="1"/>
    </xf>
    <xf numFmtId="0" fontId="24" fillId="0" borderId="72" xfId="0" applyFont="1" applyBorder="1" applyAlignment="1">
      <alignment horizontal="center" vertical="top" wrapText="1"/>
    </xf>
    <xf numFmtId="49" fontId="5" fillId="0" borderId="59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49" fontId="3" fillId="0" borderId="49" xfId="0" applyNumberFormat="1" applyFont="1" applyFill="1" applyBorder="1" applyAlignment="1">
      <alignment horizontal="center" vertical="top"/>
    </xf>
    <xf numFmtId="49" fontId="3" fillId="0" borderId="36" xfId="0" applyNumberFormat="1" applyFont="1" applyFill="1" applyBorder="1" applyAlignment="1">
      <alignment horizontal="center" vertical="top"/>
    </xf>
    <xf numFmtId="49" fontId="3" fillId="5" borderId="38" xfId="0" applyNumberFormat="1" applyFont="1" applyFill="1" applyBorder="1" applyAlignment="1">
      <alignment horizontal="center" vertical="top"/>
    </xf>
    <xf numFmtId="49" fontId="3" fillId="5" borderId="29" xfId="0" applyNumberFormat="1" applyFont="1" applyFill="1" applyBorder="1" applyAlignment="1">
      <alignment horizontal="center" vertical="top"/>
    </xf>
    <xf numFmtId="49" fontId="3" fillId="5" borderId="36" xfId="0" applyNumberFormat="1" applyFont="1" applyFill="1" applyBorder="1" applyAlignment="1">
      <alignment horizontal="center" vertical="top"/>
    </xf>
    <xf numFmtId="164" fontId="3" fillId="0" borderId="29" xfId="0" applyNumberFormat="1" applyFont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14" fillId="0" borderId="61" xfId="0" applyNumberFormat="1" applyFont="1" applyBorder="1" applyAlignment="1">
      <alignment horizontal="left" vertical="top" wrapText="1"/>
    </xf>
    <xf numFmtId="164" fontId="14" fillId="0" borderId="43" xfId="0" applyNumberFormat="1" applyFont="1" applyBorder="1" applyAlignment="1">
      <alignment horizontal="left" vertical="top" wrapText="1"/>
    </xf>
    <xf numFmtId="164" fontId="14" fillId="0" borderId="72" xfId="0" applyNumberFormat="1" applyFont="1" applyBorder="1" applyAlignment="1">
      <alignment horizontal="left" vertical="top" wrapText="1"/>
    </xf>
    <xf numFmtId="164" fontId="13" fillId="0" borderId="29" xfId="0" applyNumberFormat="1" applyFont="1" applyFill="1" applyBorder="1" applyAlignment="1">
      <alignment horizontal="left" vertical="top" wrapText="1"/>
    </xf>
    <xf numFmtId="164" fontId="3" fillId="0" borderId="29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29" xfId="0" applyNumberFormat="1" applyFont="1" applyFill="1" applyBorder="1" applyAlignment="1">
      <alignment horizontal="center" vertical="center" textRotation="90" wrapText="1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top"/>
    </xf>
    <xf numFmtId="49" fontId="3" fillId="0" borderId="73" xfId="0" applyNumberFormat="1" applyFont="1" applyBorder="1" applyAlignment="1">
      <alignment horizontal="center" vertical="top"/>
    </xf>
    <xf numFmtId="164" fontId="13" fillId="0" borderId="29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4" borderId="48" xfId="0" applyNumberFormat="1" applyFont="1" applyFill="1" applyBorder="1" applyAlignment="1">
      <alignment horizontal="center" vertical="top" wrapText="1"/>
    </xf>
    <xf numFmtId="49" fontId="3" fillId="2" borderId="69" xfId="0" applyNumberFormat="1" applyFont="1" applyFill="1" applyBorder="1" applyAlignment="1">
      <alignment horizontal="right" vertical="top" wrapText="1"/>
    </xf>
    <xf numFmtId="49" fontId="3" fillId="2" borderId="65" xfId="0" applyNumberFormat="1" applyFont="1" applyFill="1" applyBorder="1" applyAlignment="1">
      <alignment horizontal="right" vertical="top" wrapText="1"/>
    </xf>
    <xf numFmtId="49" fontId="3" fillId="2" borderId="63" xfId="0" applyNumberFormat="1" applyFont="1" applyFill="1" applyBorder="1" applyAlignment="1">
      <alignment horizontal="right" vertical="top" wrapText="1"/>
    </xf>
    <xf numFmtId="49" fontId="3" fillId="2" borderId="69" xfId="0" applyNumberFormat="1" applyFont="1" applyFill="1" applyBorder="1" applyAlignment="1">
      <alignment horizontal="left" vertical="top"/>
    </xf>
    <xf numFmtId="49" fontId="3" fillId="2" borderId="65" xfId="0" applyNumberFormat="1" applyFont="1" applyFill="1" applyBorder="1" applyAlignment="1">
      <alignment horizontal="left" vertical="top"/>
    </xf>
    <xf numFmtId="49" fontId="3" fillId="2" borderId="63" xfId="0" applyNumberFormat="1" applyFont="1" applyFill="1" applyBorder="1" applyAlignment="1">
      <alignment horizontal="left" vertical="top"/>
    </xf>
    <xf numFmtId="164" fontId="3" fillId="0" borderId="59" xfId="0" applyNumberFormat="1" applyFont="1" applyFill="1" applyBorder="1" applyAlignment="1">
      <alignment horizontal="left" vertical="top" wrapText="1"/>
    </xf>
    <xf numFmtId="49" fontId="3" fillId="5" borderId="59" xfId="0" applyNumberFormat="1" applyFont="1" applyFill="1" applyBorder="1" applyAlignment="1">
      <alignment horizontal="center" vertical="top"/>
    </xf>
    <xf numFmtId="49" fontId="3" fillId="5" borderId="1" xfId="0" applyNumberFormat="1" applyFont="1" applyFill="1" applyBorder="1" applyAlignment="1">
      <alignment horizontal="center" vertical="top"/>
    </xf>
    <xf numFmtId="49" fontId="2" fillId="0" borderId="47" xfId="0" applyNumberFormat="1" applyFont="1" applyBorder="1" applyAlignment="1">
      <alignment horizontal="center" vertical="top" wrapText="1"/>
    </xf>
    <xf numFmtId="49" fontId="2" fillId="0" borderId="25" xfId="0" applyNumberFormat="1" applyFont="1" applyBorder="1" applyAlignment="1">
      <alignment horizontal="center" vertical="top" wrapText="1"/>
    </xf>
    <xf numFmtId="49" fontId="2" fillId="0" borderId="79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6" fillId="0" borderId="46" xfId="0" applyFont="1" applyFill="1" applyBorder="1" applyAlignment="1">
      <alignment horizontal="center" vertical="center" textRotation="90" wrapText="1"/>
    </xf>
    <xf numFmtId="0" fontId="6" fillId="0" borderId="22" xfId="0" applyFont="1" applyFill="1" applyBorder="1" applyAlignment="1">
      <alignment horizontal="center" vertical="center" textRotation="90" wrapText="1"/>
    </xf>
    <xf numFmtId="0" fontId="34" fillId="3" borderId="77" xfId="0" applyFont="1" applyFill="1" applyBorder="1" applyAlignment="1">
      <alignment horizontal="left" vertical="top" wrapText="1"/>
    </xf>
    <xf numFmtId="0" fontId="34" fillId="3" borderId="75" xfId="0" applyFont="1" applyFill="1" applyBorder="1" applyAlignment="1">
      <alignment horizontal="left" vertical="top" wrapText="1"/>
    </xf>
    <xf numFmtId="0" fontId="34" fillId="3" borderId="76" xfId="0" applyFont="1" applyFill="1" applyBorder="1" applyAlignment="1">
      <alignment horizontal="left" vertical="top" wrapText="1"/>
    </xf>
    <xf numFmtId="49" fontId="3" fillId="0" borderId="59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14" fillId="0" borderId="41" xfId="0" applyNumberFormat="1" applyFont="1" applyBorder="1" applyAlignment="1">
      <alignment horizontal="center" vertical="top"/>
    </xf>
    <xf numFmtId="49" fontId="14" fillId="0" borderId="0" xfId="0" applyNumberFormat="1" applyFont="1" applyBorder="1" applyAlignment="1">
      <alignment horizontal="center" vertical="top"/>
    </xf>
    <xf numFmtId="49" fontId="14" fillId="0" borderId="30" xfId="0" applyNumberFormat="1" applyFont="1" applyBorder="1" applyAlignment="1">
      <alignment horizontal="center" vertical="top"/>
    </xf>
    <xf numFmtId="49" fontId="14" fillId="0" borderId="75" xfId="0" applyNumberFormat="1" applyFont="1" applyBorder="1" applyAlignment="1">
      <alignment horizontal="center" vertical="top"/>
    </xf>
    <xf numFmtId="0" fontId="14" fillId="2" borderId="3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0" fontId="3" fillId="2" borderId="70" xfId="0" applyFont="1" applyFill="1" applyBorder="1" applyAlignment="1">
      <alignment horizontal="left" vertical="top" wrapText="1"/>
    </xf>
    <xf numFmtId="49" fontId="3" fillId="4" borderId="58" xfId="0" applyNumberFormat="1" applyFont="1" applyFill="1" applyBorder="1" applyAlignment="1">
      <alignment horizontal="center" vertical="top" wrapText="1"/>
    </xf>
    <xf numFmtId="49" fontId="3" fillId="4" borderId="21" xfId="0" applyNumberFormat="1" applyFont="1" applyFill="1" applyBorder="1" applyAlignment="1">
      <alignment horizontal="center" vertical="top" wrapText="1"/>
    </xf>
    <xf numFmtId="164" fontId="13" fillId="0" borderId="82" xfId="0" applyNumberFormat="1" applyFont="1" applyFill="1" applyBorder="1" applyAlignment="1">
      <alignment horizontal="right" vertical="top"/>
    </xf>
    <xf numFmtId="0" fontId="3" fillId="0" borderId="62" xfId="0" applyNumberFormat="1" applyFont="1" applyBorder="1" applyAlignment="1">
      <alignment horizontal="center" vertical="top"/>
    </xf>
    <xf numFmtId="0" fontId="35" fillId="0" borderId="10" xfId="0" applyNumberFormat="1" applyFont="1" applyBorder="1" applyAlignment="1">
      <alignment horizontal="center" vertical="top"/>
    </xf>
    <xf numFmtId="0" fontId="3" fillId="0" borderId="59" xfId="0" applyFont="1" applyFill="1" applyBorder="1" applyAlignment="1">
      <alignment horizontal="center" vertical="center" textRotation="90" wrapText="1"/>
    </xf>
    <xf numFmtId="0" fontId="35" fillId="0" borderId="1" xfId="0" applyFont="1" applyBorder="1" applyAlignment="1">
      <alignment horizontal="center" vertical="center" textRotation="90" wrapText="1"/>
    </xf>
    <xf numFmtId="0" fontId="27" fillId="0" borderId="33" xfId="0" applyFont="1" applyBorder="1" applyAlignment="1">
      <alignment horizontal="center" vertical="top" wrapText="1"/>
    </xf>
    <xf numFmtId="49" fontId="2" fillId="0" borderId="83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right" vertical="top"/>
    </xf>
    <xf numFmtId="164" fontId="13" fillId="0" borderId="14" xfId="0" applyNumberFormat="1" applyFont="1" applyBorder="1" applyAlignment="1">
      <alignment horizontal="center" vertical="top" wrapText="1"/>
    </xf>
    <xf numFmtId="49" fontId="38" fillId="0" borderId="57" xfId="0" applyNumberFormat="1" applyFont="1" applyFill="1" applyBorder="1" applyAlignment="1">
      <alignment horizontal="left" vertical="top" wrapText="1"/>
    </xf>
    <xf numFmtId="49" fontId="3" fillId="2" borderId="59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40" fillId="0" borderId="59" xfId="0" applyFont="1" applyBorder="1" applyAlignment="1">
      <alignment horizontal="left" vertical="top" wrapText="1"/>
    </xf>
    <xf numFmtId="0" fontId="40" fillId="0" borderId="29" xfId="0" applyFont="1" applyBorder="1" applyAlignment="1">
      <alignment horizontal="left" vertical="top" wrapText="1"/>
    </xf>
    <xf numFmtId="0" fontId="40" fillId="0" borderId="1" xfId="0" applyFont="1" applyBorder="1" applyAlignment="1">
      <alignment horizontal="left" vertical="top" wrapText="1"/>
    </xf>
    <xf numFmtId="164" fontId="13" fillId="0" borderId="59" xfId="0" applyNumberFormat="1" applyFont="1" applyFill="1" applyBorder="1" applyAlignment="1">
      <alignment horizontal="left" vertical="top" wrapText="1"/>
    </xf>
    <xf numFmtId="164" fontId="14" fillId="0" borderId="29" xfId="0" applyNumberFormat="1" applyFont="1" applyFill="1" applyBorder="1" applyAlignment="1">
      <alignment horizontal="lef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4" fontId="3" fillId="4" borderId="57" xfId="0" applyNumberFormat="1" applyFont="1" applyFill="1" applyBorder="1" applyAlignment="1">
      <alignment horizontal="right" vertical="top"/>
    </xf>
    <xf numFmtId="49" fontId="3" fillId="3" borderId="69" xfId="0" applyNumberFormat="1" applyFont="1" applyFill="1" applyBorder="1" applyAlignment="1">
      <alignment horizontal="right" vertical="top"/>
    </xf>
    <xf numFmtId="49" fontId="3" fillId="3" borderId="65" xfId="0" applyNumberFormat="1" applyFont="1" applyFill="1" applyBorder="1" applyAlignment="1">
      <alignment horizontal="right" vertical="top"/>
    </xf>
    <xf numFmtId="49" fontId="3" fillId="2" borderId="29" xfId="0" applyNumberFormat="1" applyFont="1" applyFill="1" applyBorder="1" applyAlignment="1">
      <alignment horizontal="center" vertical="top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top" wrapText="1"/>
    </xf>
    <xf numFmtId="0" fontId="3" fillId="3" borderId="37" xfId="0" applyFont="1" applyFill="1" applyBorder="1" applyAlignment="1">
      <alignment horizontal="center" vertical="top" wrapText="1"/>
    </xf>
    <xf numFmtId="0" fontId="3" fillId="3" borderId="70" xfId="0" applyFont="1" applyFill="1" applyBorder="1" applyAlignment="1">
      <alignment horizontal="center" vertical="top" wrapText="1"/>
    </xf>
    <xf numFmtId="0" fontId="3" fillId="7" borderId="42" xfId="0" applyFont="1" applyFill="1" applyBorder="1" applyAlignment="1">
      <alignment horizontal="center" vertical="top" wrapText="1"/>
    </xf>
    <xf numFmtId="0" fontId="3" fillId="7" borderId="29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wrapText="1"/>
    </xf>
    <xf numFmtId="0" fontId="0" fillId="0" borderId="0" xfId="0" applyBorder="1" applyAlignment="1"/>
    <xf numFmtId="0" fontId="9" fillId="0" borderId="0" xfId="0" applyFont="1" applyFill="1" applyAlignment="1">
      <alignment horizontal="center" wrapText="1"/>
    </xf>
    <xf numFmtId="0" fontId="3" fillId="5" borderId="6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8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 wrapText="1"/>
    </xf>
    <xf numFmtId="0" fontId="20" fillId="0" borderId="26" xfId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zoomScaleNormal="100" zoomScaleSheetLayoutView="100" workbookViewId="0"/>
  </sheetViews>
  <sheetFormatPr defaultRowHeight="12.75"/>
  <cols>
    <col min="1" max="1" width="2.7109375" style="89" customWidth="1"/>
    <col min="2" max="3" width="2.5703125" style="89" customWidth="1"/>
    <col min="4" max="4" width="32.28515625" style="89" customWidth="1"/>
    <col min="5" max="5" width="3.28515625" style="89" customWidth="1"/>
    <col min="6" max="6" width="3.140625" style="89" customWidth="1"/>
    <col min="7" max="7" width="2.5703125" style="90" customWidth="1"/>
    <col min="8" max="8" width="7.42578125" style="88" customWidth="1"/>
    <col min="9" max="9" width="7" style="89" customWidth="1"/>
    <col min="10" max="10" width="6.7109375" style="89" customWidth="1"/>
    <col min="11" max="11" width="6.42578125" style="89" customWidth="1"/>
    <col min="12" max="12" width="7" style="89" customWidth="1"/>
    <col min="13" max="13" width="6.5703125" style="89" customWidth="1"/>
    <col min="14" max="15" width="6.42578125" style="89" customWidth="1"/>
    <col min="16" max="16" width="6.5703125" style="89" customWidth="1"/>
    <col min="17" max="18" width="6.140625" style="89" customWidth="1"/>
    <col min="19" max="19" width="6.5703125" style="89" customWidth="1"/>
    <col min="20" max="20" width="6.140625" style="89" customWidth="1"/>
    <col min="21" max="21" width="6.5703125" style="89" customWidth="1"/>
    <col min="22" max="22" width="7.140625" style="89" customWidth="1"/>
    <col min="23" max="16384" width="9.140625" style="66"/>
  </cols>
  <sheetData>
    <row r="1" spans="1:24" ht="13.5" customHeight="1">
      <c r="U1" s="661" t="s">
        <v>122</v>
      </c>
      <c r="V1" s="661"/>
    </row>
    <row r="2" spans="1:24" ht="26.25" customHeight="1">
      <c r="A2" s="482" t="s">
        <v>152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</row>
    <row r="3" spans="1:24" ht="16.5" customHeight="1">
      <c r="A3" s="636" t="s">
        <v>144</v>
      </c>
      <c r="B3" s="637"/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</row>
    <row r="4" spans="1:24" ht="13.5" customHeight="1" thickBot="1">
      <c r="A4" s="496" t="s">
        <v>0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6"/>
      <c r="U4" s="496"/>
      <c r="V4" s="496"/>
    </row>
    <row r="5" spans="1:24" ht="36.75" customHeight="1">
      <c r="A5" s="484" t="s">
        <v>1</v>
      </c>
      <c r="B5" s="487" t="s">
        <v>2</v>
      </c>
      <c r="C5" s="487" t="s">
        <v>3</v>
      </c>
      <c r="D5" s="490" t="s">
        <v>18</v>
      </c>
      <c r="E5" s="493" t="s">
        <v>4</v>
      </c>
      <c r="F5" s="582" t="s">
        <v>97</v>
      </c>
      <c r="G5" s="520" t="s">
        <v>5</v>
      </c>
      <c r="H5" s="497" t="s">
        <v>6</v>
      </c>
      <c r="I5" s="500" t="s">
        <v>107</v>
      </c>
      <c r="J5" s="501"/>
      <c r="K5" s="501"/>
      <c r="L5" s="502"/>
      <c r="M5" s="500" t="s">
        <v>113</v>
      </c>
      <c r="N5" s="501"/>
      <c r="O5" s="501"/>
      <c r="P5" s="503"/>
      <c r="Q5" s="511" t="s">
        <v>171</v>
      </c>
      <c r="R5" s="501"/>
      <c r="S5" s="501"/>
      <c r="T5" s="502"/>
      <c r="U5" s="497" t="s">
        <v>120</v>
      </c>
      <c r="V5" s="497" t="s">
        <v>121</v>
      </c>
    </row>
    <row r="6" spans="1:24" ht="15" customHeight="1">
      <c r="A6" s="485"/>
      <c r="B6" s="488"/>
      <c r="C6" s="488"/>
      <c r="D6" s="491"/>
      <c r="E6" s="494"/>
      <c r="F6" s="583"/>
      <c r="G6" s="521"/>
      <c r="H6" s="498"/>
      <c r="I6" s="509" t="s">
        <v>7</v>
      </c>
      <c r="J6" s="508" t="s">
        <v>8</v>
      </c>
      <c r="K6" s="508"/>
      <c r="L6" s="504" t="s">
        <v>29</v>
      </c>
      <c r="M6" s="509" t="s">
        <v>7</v>
      </c>
      <c r="N6" s="508" t="s">
        <v>8</v>
      </c>
      <c r="O6" s="508"/>
      <c r="P6" s="638" t="s">
        <v>29</v>
      </c>
      <c r="Q6" s="506" t="s">
        <v>7</v>
      </c>
      <c r="R6" s="508" t="s">
        <v>8</v>
      </c>
      <c r="S6" s="508"/>
      <c r="T6" s="504" t="s">
        <v>29</v>
      </c>
      <c r="U6" s="498"/>
      <c r="V6" s="498"/>
    </row>
    <row r="7" spans="1:24" ht="94.5" customHeight="1" thickBot="1">
      <c r="A7" s="486"/>
      <c r="B7" s="489"/>
      <c r="C7" s="489"/>
      <c r="D7" s="492"/>
      <c r="E7" s="495"/>
      <c r="F7" s="584"/>
      <c r="G7" s="522"/>
      <c r="H7" s="499"/>
      <c r="I7" s="510"/>
      <c r="J7" s="92" t="s">
        <v>7</v>
      </c>
      <c r="K7" s="93" t="s">
        <v>19</v>
      </c>
      <c r="L7" s="505"/>
      <c r="M7" s="510"/>
      <c r="N7" s="91" t="s">
        <v>7</v>
      </c>
      <c r="O7" s="93" t="s">
        <v>19</v>
      </c>
      <c r="P7" s="639"/>
      <c r="Q7" s="507"/>
      <c r="R7" s="91" t="s">
        <v>7</v>
      </c>
      <c r="S7" s="93" t="s">
        <v>19</v>
      </c>
      <c r="T7" s="505"/>
      <c r="U7" s="499"/>
      <c r="V7" s="499"/>
    </row>
    <row r="8" spans="1:24" ht="14.25" customHeight="1">
      <c r="A8" s="517" t="s">
        <v>68</v>
      </c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9"/>
    </row>
    <row r="9" spans="1:24" ht="14.25" customHeight="1" thickBot="1">
      <c r="A9" s="640" t="s">
        <v>163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1"/>
      <c r="M9" s="641"/>
      <c r="N9" s="641"/>
      <c r="O9" s="641"/>
      <c r="P9" s="641"/>
      <c r="Q9" s="641"/>
      <c r="R9" s="641"/>
      <c r="S9" s="641"/>
      <c r="T9" s="641"/>
      <c r="U9" s="641"/>
      <c r="V9" s="642"/>
    </row>
    <row r="10" spans="1:24" ht="14.25" customHeight="1" thickBot="1">
      <c r="A10" s="94" t="s">
        <v>9</v>
      </c>
      <c r="B10" s="515" t="s">
        <v>115</v>
      </c>
      <c r="C10" s="515"/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6"/>
    </row>
    <row r="11" spans="1:24" ht="14.25" customHeight="1" thickBot="1">
      <c r="A11" s="95" t="s">
        <v>9</v>
      </c>
      <c r="B11" s="96" t="s">
        <v>9</v>
      </c>
      <c r="C11" s="649" t="s">
        <v>71</v>
      </c>
      <c r="D11" s="650"/>
      <c r="E11" s="650"/>
      <c r="F11" s="650"/>
      <c r="G11" s="650"/>
      <c r="H11" s="650"/>
      <c r="I11" s="650"/>
      <c r="J11" s="650"/>
      <c r="K11" s="650"/>
      <c r="L11" s="650"/>
      <c r="M11" s="650"/>
      <c r="N11" s="650"/>
      <c r="O11" s="650"/>
      <c r="P11" s="650"/>
      <c r="Q11" s="650"/>
      <c r="R11" s="650"/>
      <c r="S11" s="650"/>
      <c r="T11" s="650"/>
      <c r="U11" s="650"/>
      <c r="V11" s="651"/>
    </row>
    <row r="12" spans="1:24" ht="14.25" customHeight="1">
      <c r="A12" s="555" t="s">
        <v>9</v>
      </c>
      <c r="B12" s="574" t="s">
        <v>9</v>
      </c>
      <c r="C12" s="558" t="s">
        <v>9</v>
      </c>
      <c r="D12" s="579" t="s">
        <v>32</v>
      </c>
      <c r="E12" s="564" t="s">
        <v>142</v>
      </c>
      <c r="F12" s="552" t="s">
        <v>33</v>
      </c>
      <c r="G12" s="645" t="s">
        <v>104</v>
      </c>
      <c r="H12" s="97" t="s">
        <v>34</v>
      </c>
      <c r="I12" s="183">
        <f>J12+L12</f>
        <v>40.799999999999997</v>
      </c>
      <c r="J12" s="168">
        <v>40.799999999999997</v>
      </c>
      <c r="K12" s="168"/>
      <c r="L12" s="184"/>
      <c r="M12" s="99">
        <f>N12+P12</f>
        <v>46</v>
      </c>
      <c r="N12" s="98">
        <v>46</v>
      </c>
      <c r="O12" s="98"/>
      <c r="P12" s="100"/>
      <c r="Q12" s="351">
        <f>R12+T12</f>
        <v>36.799999999999997</v>
      </c>
      <c r="R12" s="352">
        <v>36.799999999999997</v>
      </c>
      <c r="S12" s="352"/>
      <c r="T12" s="353"/>
      <c r="U12" s="101">
        <v>40</v>
      </c>
      <c r="V12" s="195">
        <v>40</v>
      </c>
    </row>
    <row r="13" spans="1:24" ht="14.25" customHeight="1">
      <c r="A13" s="556"/>
      <c r="B13" s="575"/>
      <c r="C13" s="559"/>
      <c r="D13" s="580"/>
      <c r="E13" s="565"/>
      <c r="F13" s="553"/>
      <c r="G13" s="646"/>
      <c r="H13" s="104" t="s">
        <v>35</v>
      </c>
      <c r="I13" s="185">
        <f>J13+L13</f>
        <v>266</v>
      </c>
      <c r="J13" s="164">
        <v>266</v>
      </c>
      <c r="K13" s="164"/>
      <c r="L13" s="186"/>
      <c r="M13" s="106">
        <f>N13+P13</f>
        <v>300</v>
      </c>
      <c r="N13" s="105">
        <v>300</v>
      </c>
      <c r="O13" s="105"/>
      <c r="P13" s="107"/>
      <c r="Q13" s="354">
        <f>R13+T13</f>
        <v>298</v>
      </c>
      <c r="R13" s="355">
        <v>298</v>
      </c>
      <c r="S13" s="355"/>
      <c r="T13" s="356"/>
      <c r="U13" s="108">
        <v>280</v>
      </c>
      <c r="V13" s="196">
        <v>280</v>
      </c>
      <c r="X13" s="408"/>
    </row>
    <row r="14" spans="1:24" ht="14.25" customHeight="1">
      <c r="A14" s="570"/>
      <c r="B14" s="576"/>
      <c r="C14" s="578"/>
      <c r="D14" s="580"/>
      <c r="E14" s="565"/>
      <c r="F14" s="553"/>
      <c r="G14" s="647"/>
      <c r="H14" s="67" t="s">
        <v>118</v>
      </c>
      <c r="I14" s="111">
        <f>L14+J14</f>
        <v>0</v>
      </c>
      <c r="J14" s="110"/>
      <c r="K14" s="110"/>
      <c r="L14" s="112"/>
      <c r="M14" s="111">
        <f>N14+P14</f>
        <v>54</v>
      </c>
      <c r="N14" s="110">
        <v>54</v>
      </c>
      <c r="O14" s="110"/>
      <c r="P14" s="112"/>
      <c r="Q14" s="357">
        <f>R14+T14</f>
        <v>70</v>
      </c>
      <c r="R14" s="358">
        <v>70</v>
      </c>
      <c r="S14" s="359"/>
      <c r="T14" s="360"/>
      <c r="U14" s="113">
        <v>30</v>
      </c>
      <c r="V14" s="197">
        <v>30</v>
      </c>
      <c r="X14" s="408"/>
    </row>
    <row r="15" spans="1:24" ht="14.25" customHeight="1">
      <c r="A15" s="570"/>
      <c r="B15" s="576"/>
      <c r="C15" s="578"/>
      <c r="D15" s="580"/>
      <c r="E15" s="565"/>
      <c r="F15" s="553"/>
      <c r="G15" s="647"/>
      <c r="H15" s="109" t="s">
        <v>36</v>
      </c>
      <c r="I15" s="111">
        <f>J15+L15</f>
        <v>108.1</v>
      </c>
      <c r="J15" s="110">
        <v>108.1</v>
      </c>
      <c r="K15" s="110"/>
      <c r="L15" s="112"/>
      <c r="M15" s="111">
        <f>N15+P15</f>
        <v>100</v>
      </c>
      <c r="N15" s="110">
        <v>100</v>
      </c>
      <c r="O15" s="110"/>
      <c r="P15" s="112"/>
      <c r="Q15" s="354">
        <f>R15+T15</f>
        <v>108</v>
      </c>
      <c r="R15" s="355">
        <v>108</v>
      </c>
      <c r="S15" s="359"/>
      <c r="T15" s="360"/>
      <c r="U15" s="113">
        <v>100</v>
      </c>
      <c r="V15" s="197">
        <v>100</v>
      </c>
    </row>
    <row r="16" spans="1:24" ht="14.25" customHeight="1" thickBot="1">
      <c r="A16" s="557"/>
      <c r="B16" s="577"/>
      <c r="C16" s="560"/>
      <c r="D16" s="581"/>
      <c r="E16" s="566"/>
      <c r="F16" s="554"/>
      <c r="G16" s="648"/>
      <c r="H16" s="335" t="s">
        <v>10</v>
      </c>
      <c r="I16" s="336">
        <f>SUM(I12:I15)</f>
        <v>414.9</v>
      </c>
      <c r="J16" s="337">
        <f>SUM(J12:J15)</f>
        <v>414.9</v>
      </c>
      <c r="K16" s="337"/>
      <c r="L16" s="337"/>
      <c r="M16" s="336">
        <f>SUM(M12:M15)</f>
        <v>500</v>
      </c>
      <c r="N16" s="337">
        <f>SUM(N12:N15)</f>
        <v>500</v>
      </c>
      <c r="O16" s="337"/>
      <c r="P16" s="338"/>
      <c r="Q16" s="336">
        <f>SUM(Q12:Q15)</f>
        <v>512.79999999999995</v>
      </c>
      <c r="R16" s="337">
        <f>SUM(R12:R15)</f>
        <v>512.79999999999995</v>
      </c>
      <c r="S16" s="337"/>
      <c r="T16" s="337"/>
      <c r="U16" s="339">
        <f>SUM(U12:U15)</f>
        <v>450</v>
      </c>
      <c r="V16" s="340">
        <f>V14+V13+V12+V15</f>
        <v>450</v>
      </c>
    </row>
    <row r="17" spans="1:22" ht="31.5" customHeight="1">
      <c r="A17" s="102" t="s">
        <v>9</v>
      </c>
      <c r="B17" s="103" t="s">
        <v>9</v>
      </c>
      <c r="C17" s="643" t="s">
        <v>11</v>
      </c>
      <c r="D17" s="579" t="s">
        <v>37</v>
      </c>
      <c r="E17" s="526"/>
      <c r="F17" s="571" t="s">
        <v>33</v>
      </c>
      <c r="G17" s="529" t="s">
        <v>104</v>
      </c>
      <c r="H17" s="114" t="s">
        <v>34</v>
      </c>
      <c r="I17" s="117">
        <f>J17+L17</f>
        <v>6.7</v>
      </c>
      <c r="J17" s="118">
        <v>6.7</v>
      </c>
      <c r="K17" s="118">
        <v>5.2</v>
      </c>
      <c r="L17" s="122"/>
      <c r="M17" s="117">
        <f>N17+P17</f>
        <v>5.5</v>
      </c>
      <c r="N17" s="118">
        <v>5.5</v>
      </c>
      <c r="O17" s="118">
        <v>4.2</v>
      </c>
      <c r="P17" s="119"/>
      <c r="Q17" s="413">
        <f>R17+T17</f>
        <v>7.4</v>
      </c>
      <c r="R17" s="414">
        <f>5.5+1.9</f>
        <v>7.4</v>
      </c>
      <c r="S17" s="414">
        <f>4.2+1.4</f>
        <v>5.6</v>
      </c>
      <c r="T17" s="361"/>
      <c r="U17" s="247">
        <v>5.5</v>
      </c>
      <c r="V17" s="128">
        <v>5.5</v>
      </c>
    </row>
    <row r="18" spans="1:22" ht="31.5" customHeight="1">
      <c r="A18" s="102"/>
      <c r="B18" s="103"/>
      <c r="C18" s="559"/>
      <c r="D18" s="580"/>
      <c r="E18" s="527"/>
      <c r="F18" s="572"/>
      <c r="G18" s="530"/>
      <c r="H18" s="123" t="s">
        <v>36</v>
      </c>
      <c r="I18" s="125">
        <f>L18+J18</f>
        <v>61.7</v>
      </c>
      <c r="J18" s="124">
        <v>61.7</v>
      </c>
      <c r="K18" s="124">
        <v>47.1</v>
      </c>
      <c r="L18" s="187"/>
      <c r="M18" s="125">
        <f>N18+P18</f>
        <v>61.7</v>
      </c>
      <c r="N18" s="124">
        <v>61.7</v>
      </c>
      <c r="O18" s="124">
        <v>47.1</v>
      </c>
      <c r="P18" s="126"/>
      <c r="Q18" s="362">
        <f>R18+T18</f>
        <v>51.4</v>
      </c>
      <c r="R18" s="363">
        <v>51.4</v>
      </c>
      <c r="S18" s="363">
        <v>39.200000000000003</v>
      </c>
      <c r="T18" s="364"/>
      <c r="U18" s="248">
        <v>61.7</v>
      </c>
      <c r="V18" s="249">
        <v>61.7</v>
      </c>
    </row>
    <row r="19" spans="1:22" ht="18.75" customHeight="1" thickBot="1">
      <c r="A19" s="102"/>
      <c r="B19" s="103"/>
      <c r="C19" s="644"/>
      <c r="D19" s="581"/>
      <c r="E19" s="528"/>
      <c r="F19" s="573"/>
      <c r="G19" s="531"/>
      <c r="H19" s="335" t="s">
        <v>10</v>
      </c>
      <c r="I19" s="341">
        <f>I17+I18</f>
        <v>68.400000000000006</v>
      </c>
      <c r="J19" s="342">
        <f>J17+J18</f>
        <v>68.400000000000006</v>
      </c>
      <c r="K19" s="342">
        <f>K17+K18</f>
        <v>52.300000000000004</v>
      </c>
      <c r="L19" s="342"/>
      <c r="M19" s="341">
        <f>SUM(M17:M18)</f>
        <v>67.2</v>
      </c>
      <c r="N19" s="342">
        <f>SUM(N17:N18)</f>
        <v>67.2</v>
      </c>
      <c r="O19" s="342">
        <f>SUM(O17:O18)</f>
        <v>51.300000000000004</v>
      </c>
      <c r="P19" s="343"/>
      <c r="Q19" s="341">
        <f>R19+T19</f>
        <v>58.8</v>
      </c>
      <c r="R19" s="342">
        <f>SUM(R17:R18)</f>
        <v>58.8</v>
      </c>
      <c r="S19" s="342">
        <f>SUM(S17:S18)</f>
        <v>44.800000000000004</v>
      </c>
      <c r="T19" s="342"/>
      <c r="U19" s="344">
        <f>SUM(U17:U18)</f>
        <v>67.2</v>
      </c>
      <c r="V19" s="345">
        <f>V17+V18</f>
        <v>67.2</v>
      </c>
    </row>
    <row r="20" spans="1:22" ht="18" customHeight="1">
      <c r="A20" s="555" t="s">
        <v>9</v>
      </c>
      <c r="B20" s="567" t="s">
        <v>9</v>
      </c>
      <c r="C20" s="558" t="s">
        <v>40</v>
      </c>
      <c r="D20" s="561" t="s">
        <v>76</v>
      </c>
      <c r="E20" s="564"/>
      <c r="F20" s="552" t="s">
        <v>33</v>
      </c>
      <c r="G20" s="529" t="s">
        <v>104</v>
      </c>
      <c r="H20" s="127" t="s">
        <v>34</v>
      </c>
      <c r="I20" s="120">
        <f>J20+L20</f>
        <v>193.5</v>
      </c>
      <c r="J20" s="115">
        <v>193.5</v>
      </c>
      <c r="K20" s="115">
        <v>147.69999999999999</v>
      </c>
      <c r="L20" s="122"/>
      <c r="M20" s="120">
        <f>N20+P20</f>
        <v>130.5</v>
      </c>
      <c r="N20" s="115">
        <v>130.5</v>
      </c>
      <c r="O20" s="115">
        <v>99.6</v>
      </c>
      <c r="P20" s="116"/>
      <c r="Q20" s="405">
        <f>R20+T20</f>
        <v>170.2</v>
      </c>
      <c r="R20" s="406">
        <f>124+48.1-1.9</f>
        <v>170.2</v>
      </c>
      <c r="S20" s="406">
        <f>94.7+36.7-1.4</f>
        <v>130</v>
      </c>
      <c r="T20" s="361"/>
      <c r="U20" s="128">
        <v>130.5</v>
      </c>
      <c r="V20" s="129">
        <v>130.5</v>
      </c>
    </row>
    <row r="21" spans="1:22" ht="20.25" customHeight="1">
      <c r="A21" s="556"/>
      <c r="B21" s="568"/>
      <c r="C21" s="559"/>
      <c r="D21" s="562"/>
      <c r="E21" s="565"/>
      <c r="F21" s="553"/>
      <c r="G21" s="530"/>
      <c r="H21" s="130" t="s">
        <v>36</v>
      </c>
      <c r="I21" s="131">
        <f>J21+L21</f>
        <v>329.8</v>
      </c>
      <c r="J21" s="132">
        <v>329.8</v>
      </c>
      <c r="K21" s="188">
        <v>251.8</v>
      </c>
      <c r="L21" s="189"/>
      <c r="M21" s="131">
        <f>N21+P21</f>
        <v>264.89999999999998</v>
      </c>
      <c r="N21" s="132">
        <v>264.89999999999998</v>
      </c>
      <c r="O21" s="132">
        <v>202.3</v>
      </c>
      <c r="P21" s="133"/>
      <c r="Q21" s="365">
        <f>R21+T21</f>
        <v>344.2</v>
      </c>
      <c r="R21" s="366">
        <v>344.2</v>
      </c>
      <c r="S21" s="366">
        <v>262.8</v>
      </c>
      <c r="T21" s="367"/>
      <c r="U21" s="134">
        <v>264.89999999999998</v>
      </c>
      <c r="V21" s="135">
        <v>264.89999999999998</v>
      </c>
    </row>
    <row r="22" spans="1:22" ht="18" customHeight="1" thickBot="1">
      <c r="A22" s="557"/>
      <c r="B22" s="569"/>
      <c r="C22" s="560"/>
      <c r="D22" s="563"/>
      <c r="E22" s="566"/>
      <c r="F22" s="554"/>
      <c r="G22" s="531"/>
      <c r="H22" s="335" t="s">
        <v>10</v>
      </c>
      <c r="I22" s="341">
        <f>SUM(I20:I21)</f>
        <v>523.29999999999995</v>
      </c>
      <c r="J22" s="342">
        <f>SUM(J20:J21)</f>
        <v>523.29999999999995</v>
      </c>
      <c r="K22" s="342">
        <f>SUM(K20:K21)</f>
        <v>399.5</v>
      </c>
      <c r="L22" s="346"/>
      <c r="M22" s="341">
        <f>SUM(M20:M21)</f>
        <v>395.4</v>
      </c>
      <c r="N22" s="342">
        <f>SUM(N20:N21)</f>
        <v>395.4</v>
      </c>
      <c r="O22" s="342">
        <f>SUM(O20:O21)</f>
        <v>301.89999999999998</v>
      </c>
      <c r="P22" s="347"/>
      <c r="Q22" s="341">
        <f>SUM(Q20:Q21)</f>
        <v>514.4</v>
      </c>
      <c r="R22" s="342">
        <f>SUM(R20:R21)</f>
        <v>514.4</v>
      </c>
      <c r="S22" s="342">
        <f>SUM(S20:S21)</f>
        <v>392.8</v>
      </c>
      <c r="T22" s="346"/>
      <c r="U22" s="348">
        <f>SUM(U20:U21)</f>
        <v>395.4</v>
      </c>
      <c r="V22" s="348">
        <f>SUM(V20:V21)</f>
        <v>395.4</v>
      </c>
    </row>
    <row r="23" spans="1:22" ht="15" customHeight="1">
      <c r="A23" s="555" t="s">
        <v>9</v>
      </c>
      <c r="B23" s="567" t="s">
        <v>9</v>
      </c>
      <c r="C23" s="558" t="s">
        <v>41</v>
      </c>
      <c r="D23" s="561" t="s">
        <v>77</v>
      </c>
      <c r="E23" s="564" t="s">
        <v>85</v>
      </c>
      <c r="F23" s="552" t="s">
        <v>33</v>
      </c>
      <c r="G23" s="529" t="s">
        <v>104</v>
      </c>
      <c r="H23" s="127" t="s">
        <v>34</v>
      </c>
      <c r="I23" s="120">
        <f>J23+L23</f>
        <v>296.70000000000005</v>
      </c>
      <c r="J23" s="115">
        <v>277.60000000000002</v>
      </c>
      <c r="K23" s="115">
        <v>139.30000000000001</v>
      </c>
      <c r="L23" s="122">
        <v>19.100000000000001</v>
      </c>
      <c r="M23" s="120">
        <f>N23+P23</f>
        <v>341.8</v>
      </c>
      <c r="N23" s="115">
        <v>341.8</v>
      </c>
      <c r="O23" s="115">
        <v>186.5</v>
      </c>
      <c r="P23" s="122"/>
      <c r="Q23" s="405">
        <f>R23+T23</f>
        <v>281.09999999999997</v>
      </c>
      <c r="R23" s="406">
        <f>329.2-48.1</f>
        <v>281.09999999999997</v>
      </c>
      <c r="S23" s="406">
        <f>177.2-36.7</f>
        <v>140.5</v>
      </c>
      <c r="T23" s="361"/>
      <c r="U23" s="136">
        <v>341.8</v>
      </c>
      <c r="V23" s="129">
        <v>341.8</v>
      </c>
    </row>
    <row r="24" spans="1:22" ht="15" customHeight="1">
      <c r="A24" s="556"/>
      <c r="B24" s="568"/>
      <c r="C24" s="559"/>
      <c r="D24" s="562"/>
      <c r="E24" s="565"/>
      <c r="F24" s="553"/>
      <c r="G24" s="530"/>
      <c r="H24" s="137" t="s">
        <v>43</v>
      </c>
      <c r="I24" s="138">
        <f>J24+L24</f>
        <v>223.3</v>
      </c>
      <c r="J24" s="139">
        <v>223.3</v>
      </c>
      <c r="K24" s="190"/>
      <c r="L24" s="140"/>
      <c r="M24" s="138">
        <f>N24+P24</f>
        <v>223.5</v>
      </c>
      <c r="N24" s="139">
        <v>223.5</v>
      </c>
      <c r="O24" s="139"/>
      <c r="P24" s="140"/>
      <c r="Q24" s="368">
        <f>R24+T24</f>
        <v>214.4</v>
      </c>
      <c r="R24" s="369">
        <v>214.4</v>
      </c>
      <c r="S24" s="369">
        <v>36.700000000000003</v>
      </c>
      <c r="T24" s="370"/>
      <c r="U24" s="141">
        <v>223.3</v>
      </c>
      <c r="V24" s="142">
        <v>223.3</v>
      </c>
    </row>
    <row r="25" spans="1:22" ht="15" customHeight="1" thickBot="1">
      <c r="A25" s="557"/>
      <c r="B25" s="569"/>
      <c r="C25" s="560"/>
      <c r="D25" s="563"/>
      <c r="E25" s="566"/>
      <c r="F25" s="554"/>
      <c r="G25" s="531"/>
      <c r="H25" s="335" t="s">
        <v>10</v>
      </c>
      <c r="I25" s="347">
        <f t="shared" ref="I25:O25" si="0">SUM(I23:I24)</f>
        <v>520</v>
      </c>
      <c r="J25" s="342">
        <f t="shared" si="0"/>
        <v>500.90000000000003</v>
      </c>
      <c r="K25" s="342">
        <f t="shared" si="0"/>
        <v>139.30000000000001</v>
      </c>
      <c r="L25" s="349">
        <f t="shared" si="0"/>
        <v>19.100000000000001</v>
      </c>
      <c r="M25" s="341">
        <f t="shared" si="0"/>
        <v>565.29999999999995</v>
      </c>
      <c r="N25" s="342">
        <f t="shared" si="0"/>
        <v>565.29999999999995</v>
      </c>
      <c r="O25" s="342">
        <f t="shared" si="0"/>
        <v>186.5</v>
      </c>
      <c r="P25" s="346"/>
      <c r="Q25" s="347">
        <f>R25+T25</f>
        <v>495.5</v>
      </c>
      <c r="R25" s="342">
        <f>SUM(R23:R24)</f>
        <v>495.5</v>
      </c>
      <c r="S25" s="342">
        <f>SUM(S23:S24)</f>
        <v>177.2</v>
      </c>
      <c r="T25" s="349"/>
      <c r="U25" s="348">
        <f>SUM(U23:U24)</f>
        <v>565.1</v>
      </c>
      <c r="V25" s="348">
        <f>SUM(V23:V24)</f>
        <v>565.1</v>
      </c>
    </row>
    <row r="26" spans="1:22" ht="26.25" customHeight="1">
      <c r="A26" s="454" t="s">
        <v>9</v>
      </c>
      <c r="B26" s="456" t="s">
        <v>9</v>
      </c>
      <c r="C26" s="458" t="s">
        <v>83</v>
      </c>
      <c r="D26" s="460" t="s">
        <v>95</v>
      </c>
      <c r="E26" s="471" t="s">
        <v>141</v>
      </c>
      <c r="F26" s="440" t="s">
        <v>33</v>
      </c>
      <c r="G26" s="462" t="s">
        <v>104</v>
      </c>
      <c r="H26" s="166" t="s">
        <v>34</v>
      </c>
      <c r="I26" s="125">
        <f>J26+L26</f>
        <v>11</v>
      </c>
      <c r="J26" s="124">
        <v>11</v>
      </c>
      <c r="K26" s="124"/>
      <c r="L26" s="187"/>
      <c r="M26" s="162"/>
      <c r="N26" s="161"/>
      <c r="O26" s="161"/>
      <c r="P26" s="163"/>
      <c r="Q26" s="362"/>
      <c r="R26" s="363"/>
      <c r="S26" s="363"/>
      <c r="T26" s="364"/>
      <c r="U26" s="167"/>
      <c r="V26" s="167"/>
    </row>
    <row r="27" spans="1:22" ht="18" customHeight="1" thickBot="1">
      <c r="A27" s="455"/>
      <c r="B27" s="457"/>
      <c r="C27" s="459"/>
      <c r="D27" s="461"/>
      <c r="E27" s="472"/>
      <c r="F27" s="441"/>
      <c r="G27" s="463"/>
      <c r="H27" s="350" t="s">
        <v>10</v>
      </c>
      <c r="I27" s="341">
        <f>SUM(I26:I26)</f>
        <v>11</v>
      </c>
      <c r="J27" s="342">
        <f>SUM(J26:J26)</f>
        <v>11</v>
      </c>
      <c r="K27" s="342"/>
      <c r="L27" s="346"/>
      <c r="M27" s="341"/>
      <c r="N27" s="342"/>
      <c r="O27" s="342"/>
      <c r="P27" s="347"/>
      <c r="Q27" s="341"/>
      <c r="R27" s="342"/>
      <c r="S27" s="342"/>
      <c r="T27" s="346"/>
      <c r="U27" s="348"/>
      <c r="V27" s="348"/>
    </row>
    <row r="28" spans="1:22" ht="14.25" customHeight="1" thickBot="1">
      <c r="A28" s="143" t="s">
        <v>9</v>
      </c>
      <c r="B28" s="96" t="s">
        <v>9</v>
      </c>
      <c r="C28" s="473" t="s">
        <v>12</v>
      </c>
      <c r="D28" s="474"/>
      <c r="E28" s="474"/>
      <c r="F28" s="474"/>
      <c r="G28" s="474"/>
      <c r="H28" s="475"/>
      <c r="I28" s="33">
        <f>L28+J28</f>
        <v>1537.6</v>
      </c>
      <c r="J28" s="29">
        <f>+J25+J22+J19+J16+J27</f>
        <v>1518.5</v>
      </c>
      <c r="K28" s="29">
        <f>+K25+K22+K19+K16</f>
        <v>591.09999999999991</v>
      </c>
      <c r="L28" s="192">
        <f>+L25+L22+L19+L16</f>
        <v>19.100000000000001</v>
      </c>
      <c r="M28" s="31">
        <f>M25+M22+M19+M16</f>
        <v>1527.8999999999999</v>
      </c>
      <c r="N28" s="1">
        <f>N25+N22+N19+N16</f>
        <v>1527.8999999999999</v>
      </c>
      <c r="O28" s="1">
        <f>O25+O22+O19+O16</f>
        <v>539.69999999999993</v>
      </c>
      <c r="P28" s="32"/>
      <c r="Q28" s="29">
        <f>R28+T28</f>
        <v>1581.5</v>
      </c>
      <c r="R28" s="29">
        <f>R27+R25+R22+R19+R16</f>
        <v>1581.5</v>
      </c>
      <c r="S28" s="29">
        <f>S27+S25+S22+S19+S16</f>
        <v>614.79999999999995</v>
      </c>
      <c r="T28" s="199"/>
      <c r="U28" s="30">
        <f>+U25+U22+U19+U16</f>
        <v>1477.7</v>
      </c>
      <c r="V28" s="30">
        <f>+V25+V22+V19+V16</f>
        <v>1477.7</v>
      </c>
    </row>
    <row r="29" spans="1:22" ht="14.25" customHeight="1" thickBot="1">
      <c r="A29" s="95" t="s">
        <v>9</v>
      </c>
      <c r="B29" s="96" t="s">
        <v>11</v>
      </c>
      <c r="C29" s="625" t="s">
        <v>123</v>
      </c>
      <c r="D29" s="626"/>
      <c r="E29" s="626"/>
      <c r="F29" s="626"/>
      <c r="G29" s="626"/>
      <c r="H29" s="626"/>
      <c r="I29" s="626"/>
      <c r="J29" s="626"/>
      <c r="K29" s="626"/>
      <c r="L29" s="626"/>
      <c r="M29" s="626"/>
      <c r="N29" s="626"/>
      <c r="O29" s="626"/>
      <c r="P29" s="626"/>
      <c r="Q29" s="626"/>
      <c r="R29" s="626"/>
      <c r="S29" s="626"/>
      <c r="T29" s="626"/>
      <c r="U29" s="626"/>
      <c r="V29" s="627"/>
    </row>
    <row r="30" spans="1:22" ht="14.25" customHeight="1">
      <c r="A30" s="230" t="s">
        <v>9</v>
      </c>
      <c r="B30" s="231" t="s">
        <v>11</v>
      </c>
      <c r="C30" s="232" t="s">
        <v>9</v>
      </c>
      <c r="D30" s="666" t="s">
        <v>79</v>
      </c>
      <c r="E30" s="233"/>
      <c r="F30" s="234" t="s">
        <v>33</v>
      </c>
      <c r="G30" s="252" t="s">
        <v>104</v>
      </c>
      <c r="H30" s="150" t="s">
        <v>81</v>
      </c>
      <c r="I30" s="131">
        <f>J30+L30</f>
        <v>3007</v>
      </c>
      <c r="J30" s="132">
        <v>3007</v>
      </c>
      <c r="K30" s="132">
        <v>1924.6</v>
      </c>
      <c r="L30" s="191"/>
      <c r="M30" s="151">
        <f>N30+P30</f>
        <v>3294.8</v>
      </c>
      <c r="N30" s="152">
        <v>3282.3</v>
      </c>
      <c r="O30" s="152">
        <v>2032.1</v>
      </c>
      <c r="P30" s="153">
        <v>12.5</v>
      </c>
      <c r="Q30" s="365">
        <f>R30+T30</f>
        <v>2887</v>
      </c>
      <c r="R30" s="366">
        <v>2887</v>
      </c>
      <c r="S30" s="366">
        <v>1847.8</v>
      </c>
      <c r="T30" s="381"/>
      <c r="U30" s="317">
        <v>3691.7</v>
      </c>
      <c r="V30" s="318">
        <v>3691.7</v>
      </c>
    </row>
    <row r="31" spans="1:22" ht="14.25" customHeight="1">
      <c r="A31" s="235"/>
      <c r="B31" s="236"/>
      <c r="C31" s="237"/>
      <c r="D31" s="667"/>
      <c r="E31" s="238"/>
      <c r="F31" s="239"/>
      <c r="G31" s="250"/>
      <c r="H31" s="420" t="s">
        <v>34</v>
      </c>
      <c r="I31" s="131"/>
      <c r="J31" s="132"/>
      <c r="K31" s="132"/>
      <c r="L31" s="191"/>
      <c r="M31" s="151"/>
      <c r="N31" s="152"/>
      <c r="O31" s="152"/>
      <c r="P31" s="153"/>
      <c r="Q31" s="422">
        <f>R31+T31</f>
        <v>12.1</v>
      </c>
      <c r="R31" s="423">
        <v>12.1</v>
      </c>
      <c r="S31" s="423">
        <v>9.1999999999999993</v>
      </c>
      <c r="T31" s="381"/>
      <c r="U31" s="317"/>
      <c r="V31" s="318"/>
    </row>
    <row r="32" spans="1:22" ht="14.25" customHeight="1" thickBot="1">
      <c r="A32" s="241"/>
      <c r="B32" s="242"/>
      <c r="C32" s="243"/>
      <c r="D32" s="668"/>
      <c r="E32" s="244"/>
      <c r="F32" s="245"/>
      <c r="G32" s="253"/>
      <c r="H32" s="350" t="s">
        <v>10</v>
      </c>
      <c r="I32" s="371">
        <f>SUM(I30:I30)</f>
        <v>3007</v>
      </c>
      <c r="J32" s="372">
        <f>SUM(J30:J30)</f>
        <v>3007</v>
      </c>
      <c r="K32" s="372">
        <f>SUM(K30:K30)</f>
        <v>1924.6</v>
      </c>
      <c r="L32" s="373"/>
      <c r="M32" s="371">
        <f>SUM(M30:M30)</f>
        <v>3294.8</v>
      </c>
      <c r="N32" s="372">
        <f>SUM(N30:N30)</f>
        <v>3282.3</v>
      </c>
      <c r="O32" s="372">
        <f>SUM(O30:O30)</f>
        <v>2032.1</v>
      </c>
      <c r="P32" s="374">
        <f>SUM(P30)</f>
        <v>12.5</v>
      </c>
      <c r="Q32" s="371">
        <f>R32+T32</f>
        <v>2899.1</v>
      </c>
      <c r="R32" s="372">
        <f>SUM(R30:R31)</f>
        <v>2899.1</v>
      </c>
      <c r="S32" s="372">
        <f>SUM(S30:S31)</f>
        <v>1857</v>
      </c>
      <c r="T32" s="373"/>
      <c r="U32" s="375">
        <f>SUM(U30:U30)</f>
        <v>3691.7</v>
      </c>
      <c r="V32" s="376">
        <f>SUM(V30:V30)</f>
        <v>3691.7</v>
      </c>
    </row>
    <row r="33" spans="1:22" ht="14.25" customHeight="1">
      <c r="A33" s="230" t="s">
        <v>9</v>
      </c>
      <c r="B33" s="231" t="s">
        <v>11</v>
      </c>
      <c r="C33" s="232" t="s">
        <v>11</v>
      </c>
      <c r="D33" s="476" t="s">
        <v>80</v>
      </c>
      <c r="E33" s="233"/>
      <c r="F33" s="234" t="s">
        <v>33</v>
      </c>
      <c r="G33" s="252" t="s">
        <v>104</v>
      </c>
      <c r="H33" s="155" t="s">
        <v>36</v>
      </c>
      <c r="I33" s="138">
        <f>J33+L33</f>
        <v>273.10000000000002</v>
      </c>
      <c r="J33" s="139">
        <v>273.10000000000002</v>
      </c>
      <c r="K33" s="139">
        <v>83.4</v>
      </c>
      <c r="L33" s="140"/>
      <c r="M33" s="157"/>
      <c r="N33" s="156"/>
      <c r="O33" s="156"/>
      <c r="P33" s="158"/>
      <c r="Q33" s="368"/>
      <c r="R33" s="369"/>
      <c r="S33" s="369"/>
      <c r="T33" s="370"/>
      <c r="U33" s="159">
        <v>261.89999999999998</v>
      </c>
      <c r="V33" s="159">
        <v>261.89999999999998</v>
      </c>
    </row>
    <row r="34" spans="1:22" ht="14.25" customHeight="1">
      <c r="A34" s="235"/>
      <c r="B34" s="236"/>
      <c r="C34" s="237"/>
      <c r="D34" s="477"/>
      <c r="E34" s="238"/>
      <c r="F34" s="239"/>
      <c r="G34" s="250"/>
      <c r="H34" s="421" t="s">
        <v>34</v>
      </c>
      <c r="I34" s="125"/>
      <c r="J34" s="124"/>
      <c r="K34" s="124"/>
      <c r="L34" s="187"/>
      <c r="M34" s="162"/>
      <c r="N34" s="161"/>
      <c r="O34" s="161"/>
      <c r="P34" s="163"/>
      <c r="Q34" s="416">
        <f>R34+T34</f>
        <v>9.1999999999999993</v>
      </c>
      <c r="R34" s="417">
        <v>9.1999999999999993</v>
      </c>
      <c r="S34" s="417">
        <v>7</v>
      </c>
      <c r="T34" s="364"/>
      <c r="U34" s="165"/>
      <c r="V34" s="165"/>
    </row>
    <row r="35" spans="1:22" ht="14.25" customHeight="1">
      <c r="A35" s="235"/>
      <c r="B35" s="236"/>
      <c r="C35" s="237"/>
      <c r="D35" s="477"/>
      <c r="E35" s="238"/>
      <c r="F35" s="239"/>
      <c r="G35" s="250"/>
      <c r="H35" s="160" t="s">
        <v>78</v>
      </c>
      <c r="I35" s="138">
        <f>J35+L35</f>
        <v>100</v>
      </c>
      <c r="J35" s="139">
        <v>100</v>
      </c>
      <c r="K35" s="139">
        <v>30</v>
      </c>
      <c r="L35" s="140"/>
      <c r="M35" s="157">
        <f>N35+P35</f>
        <v>115</v>
      </c>
      <c r="N35" s="156">
        <v>115</v>
      </c>
      <c r="O35" s="156">
        <v>28.7</v>
      </c>
      <c r="P35" s="158"/>
      <c r="Q35" s="418">
        <f>R35+T35</f>
        <v>120</v>
      </c>
      <c r="R35" s="419">
        <f>115+5</f>
        <v>120</v>
      </c>
      <c r="S35" s="369">
        <v>28.7</v>
      </c>
      <c r="T35" s="370"/>
      <c r="U35" s="159">
        <v>100</v>
      </c>
      <c r="V35" s="159">
        <v>100</v>
      </c>
    </row>
    <row r="36" spans="1:22" ht="14.25" customHeight="1">
      <c r="A36" s="235"/>
      <c r="B36" s="236"/>
      <c r="C36" s="237"/>
      <c r="D36" s="477"/>
      <c r="E36" s="238"/>
      <c r="F36" s="239"/>
      <c r="G36" s="240"/>
      <c r="H36" s="155" t="s">
        <v>81</v>
      </c>
      <c r="I36" s="131">
        <f>J36+L36</f>
        <v>2015</v>
      </c>
      <c r="J36" s="132">
        <v>2015</v>
      </c>
      <c r="K36" s="132">
        <v>1307</v>
      </c>
      <c r="L36" s="112"/>
      <c r="M36" s="151">
        <f>N36+P36</f>
        <v>2015</v>
      </c>
      <c r="N36" s="152">
        <v>2015</v>
      </c>
      <c r="O36" s="152">
        <v>1319.6</v>
      </c>
      <c r="P36" s="153"/>
      <c r="Q36" s="365">
        <f>R36+T36</f>
        <v>1934</v>
      </c>
      <c r="R36" s="366">
        <v>1934</v>
      </c>
      <c r="S36" s="366">
        <v>1272.4000000000001</v>
      </c>
      <c r="T36" s="360"/>
      <c r="U36" s="154">
        <v>2347</v>
      </c>
      <c r="V36" s="154">
        <v>2347</v>
      </c>
    </row>
    <row r="37" spans="1:22" ht="14.25" customHeight="1" thickBot="1">
      <c r="A37" s="241"/>
      <c r="B37" s="242"/>
      <c r="C37" s="243"/>
      <c r="D37" s="478"/>
      <c r="E37" s="244"/>
      <c r="F37" s="245"/>
      <c r="G37" s="246"/>
      <c r="H37" s="377" t="s">
        <v>10</v>
      </c>
      <c r="I37" s="371">
        <f>SUM(I33:I36)</f>
        <v>2388.1</v>
      </c>
      <c r="J37" s="372">
        <f>SUM(J33:J36)</f>
        <v>2388.1</v>
      </c>
      <c r="K37" s="372">
        <f>SUM(K33:K36)</f>
        <v>1420.4</v>
      </c>
      <c r="L37" s="373"/>
      <c r="M37" s="371">
        <f>SUM(M33:M36)</f>
        <v>2130</v>
      </c>
      <c r="N37" s="378">
        <f>SUM(N33:N36)</f>
        <v>2130</v>
      </c>
      <c r="O37" s="378">
        <f>SUM(O33:O36)</f>
        <v>1348.3</v>
      </c>
      <c r="P37" s="373"/>
      <c r="Q37" s="371">
        <f>R37+T37</f>
        <v>2063.1999999999998</v>
      </c>
      <c r="R37" s="372">
        <f>SUM(R34:R36)</f>
        <v>2063.1999999999998</v>
      </c>
      <c r="S37" s="372">
        <f>SUM(S34:S36)</f>
        <v>1308.1000000000001</v>
      </c>
      <c r="T37" s="373"/>
      <c r="U37" s="375">
        <f>SUM(U33:U36)</f>
        <v>2708.9</v>
      </c>
      <c r="V37" s="375">
        <f>SUM(V33:V36)</f>
        <v>2708.9</v>
      </c>
    </row>
    <row r="38" spans="1:22" ht="26.25" customHeight="1">
      <c r="A38" s="595" t="s">
        <v>9</v>
      </c>
      <c r="B38" s="597" t="s">
        <v>11</v>
      </c>
      <c r="C38" s="599" t="s">
        <v>40</v>
      </c>
      <c r="D38" s="579" t="s">
        <v>38</v>
      </c>
      <c r="E38" s="657" t="s">
        <v>86</v>
      </c>
      <c r="F38" s="552" t="s">
        <v>33</v>
      </c>
      <c r="G38" s="655">
        <v>3</v>
      </c>
      <c r="H38" s="144" t="s">
        <v>34</v>
      </c>
      <c r="I38" s="145">
        <f>J38+L38</f>
        <v>100</v>
      </c>
      <c r="J38" s="146">
        <v>100</v>
      </c>
      <c r="K38" s="146"/>
      <c r="L38" s="147"/>
      <c r="M38" s="251"/>
      <c r="N38" s="146"/>
      <c r="O38" s="146"/>
      <c r="P38" s="148"/>
      <c r="Q38" s="382"/>
      <c r="R38" s="383"/>
      <c r="S38" s="383"/>
      <c r="T38" s="384"/>
      <c r="U38" s="149">
        <v>300</v>
      </c>
      <c r="V38" s="198">
        <v>300</v>
      </c>
    </row>
    <row r="39" spans="1:22" ht="18" customHeight="1" thickBot="1">
      <c r="A39" s="596"/>
      <c r="B39" s="598"/>
      <c r="C39" s="600"/>
      <c r="D39" s="581"/>
      <c r="E39" s="658"/>
      <c r="F39" s="659"/>
      <c r="G39" s="656"/>
      <c r="H39" s="379" t="s">
        <v>10</v>
      </c>
      <c r="I39" s="341">
        <f>I38</f>
        <v>100</v>
      </c>
      <c r="J39" s="342">
        <f>J38</f>
        <v>100</v>
      </c>
      <c r="K39" s="342"/>
      <c r="L39" s="346"/>
      <c r="M39" s="380"/>
      <c r="N39" s="342"/>
      <c r="O39" s="342"/>
      <c r="P39" s="347"/>
      <c r="Q39" s="341"/>
      <c r="R39" s="342"/>
      <c r="S39" s="342"/>
      <c r="T39" s="346"/>
      <c r="U39" s="348">
        <f>+U38</f>
        <v>300</v>
      </c>
      <c r="V39" s="348">
        <f>+V38</f>
        <v>300</v>
      </c>
    </row>
    <row r="40" spans="1:22" ht="12" customHeight="1" thickBot="1">
      <c r="A40" s="95" t="s">
        <v>9</v>
      </c>
      <c r="B40" s="96" t="s">
        <v>11</v>
      </c>
      <c r="C40" s="622" t="s">
        <v>12</v>
      </c>
      <c r="D40" s="623"/>
      <c r="E40" s="623"/>
      <c r="F40" s="623"/>
      <c r="G40" s="623"/>
      <c r="H40" s="624"/>
      <c r="I40" s="193">
        <f>I37+I32+I39</f>
        <v>5495.1</v>
      </c>
      <c r="J40" s="193">
        <f t="shared" ref="J40:T40" si="1">J37+J32+J39</f>
        <v>5495.1</v>
      </c>
      <c r="K40" s="193">
        <f t="shared" si="1"/>
        <v>3345</v>
      </c>
      <c r="L40" s="193"/>
      <c r="M40" s="193">
        <f>M37+M32+M39</f>
        <v>5424.8</v>
      </c>
      <c r="N40" s="193">
        <f t="shared" si="1"/>
        <v>5412.3</v>
      </c>
      <c r="O40" s="193">
        <f t="shared" si="1"/>
        <v>3380.3999999999996</v>
      </c>
      <c r="P40" s="193">
        <f t="shared" si="1"/>
        <v>12.5</v>
      </c>
      <c r="Q40" s="193">
        <f t="shared" si="1"/>
        <v>4962.2999999999993</v>
      </c>
      <c r="R40" s="193">
        <f t="shared" si="1"/>
        <v>4962.2999999999993</v>
      </c>
      <c r="S40" s="193">
        <f t="shared" si="1"/>
        <v>3165.1000000000004</v>
      </c>
      <c r="T40" s="193">
        <f t="shared" si="1"/>
        <v>0</v>
      </c>
      <c r="U40" s="193">
        <f>U37+U32+U39</f>
        <v>6700.6</v>
      </c>
      <c r="V40" s="407">
        <f>V37+V32+V39</f>
        <v>6700.6</v>
      </c>
    </row>
    <row r="41" spans="1:22" ht="14.25" customHeight="1" thickBot="1">
      <c r="A41" s="279" t="s">
        <v>9</v>
      </c>
      <c r="B41" s="169" t="s">
        <v>40</v>
      </c>
      <c r="C41" s="588" t="s">
        <v>69</v>
      </c>
      <c r="D41" s="588"/>
      <c r="E41" s="588"/>
      <c r="F41" s="588"/>
      <c r="G41" s="588"/>
      <c r="H41" s="588"/>
      <c r="I41" s="589"/>
      <c r="J41" s="589"/>
      <c r="K41" s="589"/>
      <c r="L41" s="589"/>
      <c r="M41" s="589"/>
      <c r="N41" s="589"/>
      <c r="O41" s="589"/>
      <c r="P41" s="589"/>
      <c r="Q41" s="589"/>
      <c r="R41" s="589"/>
      <c r="S41" s="589"/>
      <c r="T41" s="589"/>
      <c r="U41" s="589"/>
      <c r="V41" s="590"/>
    </row>
    <row r="42" spans="1:22" ht="30" customHeight="1">
      <c r="A42" s="281" t="s">
        <v>9</v>
      </c>
      <c r="B42" s="231" t="s">
        <v>40</v>
      </c>
      <c r="C42" s="303" t="s">
        <v>9</v>
      </c>
      <c r="D42" s="267" t="s">
        <v>124</v>
      </c>
      <c r="E42" s="464" t="s">
        <v>63</v>
      </c>
      <c r="F42" s="286" t="s">
        <v>33</v>
      </c>
      <c r="G42" s="280"/>
      <c r="H42" s="149"/>
      <c r="I42" s="251"/>
      <c r="J42" s="146"/>
      <c r="K42" s="146"/>
      <c r="L42" s="147"/>
      <c r="M42" s="276"/>
      <c r="N42" s="277"/>
      <c r="O42" s="277"/>
      <c r="P42" s="278"/>
      <c r="Q42" s="382"/>
      <c r="R42" s="383"/>
      <c r="S42" s="383"/>
      <c r="T42" s="384"/>
      <c r="U42" s="149"/>
      <c r="V42" s="149"/>
    </row>
    <row r="43" spans="1:22" ht="41.25" customHeight="1">
      <c r="A43" s="282"/>
      <c r="B43" s="236"/>
      <c r="C43" s="287"/>
      <c r="D43" s="316" t="s">
        <v>164</v>
      </c>
      <c r="E43" s="465"/>
      <c r="F43" s="284"/>
      <c r="G43" s="467" t="s">
        <v>105</v>
      </c>
      <c r="H43" s="210" t="s">
        <v>127</v>
      </c>
      <c r="I43" s="206"/>
      <c r="J43" s="207"/>
      <c r="K43" s="207"/>
      <c r="L43" s="208"/>
      <c r="M43" s="271">
        <f>N43+P43</f>
        <v>100</v>
      </c>
      <c r="N43" s="272"/>
      <c r="O43" s="272"/>
      <c r="P43" s="273">
        <v>100</v>
      </c>
      <c r="Q43" s="393"/>
      <c r="R43" s="394"/>
      <c r="S43" s="394"/>
      <c r="T43" s="395"/>
      <c r="U43" s="210">
        <v>301</v>
      </c>
      <c r="V43" s="210"/>
    </row>
    <row r="44" spans="1:22" ht="21.75" customHeight="1">
      <c r="A44" s="282"/>
      <c r="B44" s="236"/>
      <c r="C44" s="287"/>
      <c r="D44" s="618" t="s">
        <v>165</v>
      </c>
      <c r="E44" s="465"/>
      <c r="F44" s="284"/>
      <c r="G44" s="619"/>
      <c r="H44" s="210"/>
      <c r="I44" s="206"/>
      <c r="J44" s="207"/>
      <c r="K44" s="207"/>
      <c r="L44" s="208"/>
      <c r="M44" s="271"/>
      <c r="N44" s="272"/>
      <c r="O44" s="272"/>
      <c r="P44" s="273"/>
      <c r="Q44" s="393"/>
      <c r="R44" s="394"/>
      <c r="S44" s="394"/>
      <c r="T44" s="395"/>
      <c r="U44" s="210"/>
      <c r="V44" s="210"/>
    </row>
    <row r="45" spans="1:22" ht="21.75" customHeight="1">
      <c r="A45" s="282"/>
      <c r="B45" s="236"/>
      <c r="C45" s="287"/>
      <c r="D45" s="618"/>
      <c r="E45" s="465"/>
      <c r="F45" s="284"/>
      <c r="G45" s="620"/>
      <c r="H45" s="298" t="s">
        <v>64</v>
      </c>
      <c r="I45" s="299"/>
      <c r="J45" s="203"/>
      <c r="K45" s="203"/>
      <c r="L45" s="204"/>
      <c r="M45" s="300">
        <f>P45+N45</f>
        <v>35</v>
      </c>
      <c r="N45" s="301"/>
      <c r="O45" s="301"/>
      <c r="P45" s="302">
        <v>35</v>
      </c>
      <c r="Q45" s="396"/>
      <c r="R45" s="397"/>
      <c r="S45" s="397"/>
      <c r="T45" s="398"/>
      <c r="U45" s="298">
        <v>215</v>
      </c>
      <c r="V45" s="298">
        <v>1655</v>
      </c>
    </row>
    <row r="46" spans="1:22" ht="25.5" customHeight="1">
      <c r="A46" s="282"/>
      <c r="B46" s="236"/>
      <c r="C46" s="287"/>
      <c r="D46" s="469" t="s">
        <v>130</v>
      </c>
      <c r="E46" s="465"/>
      <c r="F46" s="284"/>
      <c r="G46" s="467" t="s">
        <v>126</v>
      </c>
      <c r="H46" s="223" t="s">
        <v>34</v>
      </c>
      <c r="I46" s="288">
        <f>J46+L46</f>
        <v>20</v>
      </c>
      <c r="J46" s="218">
        <v>20</v>
      </c>
      <c r="K46" s="218"/>
      <c r="L46" s="219"/>
      <c r="M46" s="289">
        <f>N46+P46</f>
        <v>50</v>
      </c>
      <c r="N46" s="220">
        <v>50</v>
      </c>
      <c r="O46" s="220"/>
      <c r="P46" s="290"/>
      <c r="Q46" s="399"/>
      <c r="R46" s="400"/>
      <c r="S46" s="400"/>
      <c r="T46" s="401"/>
      <c r="U46" s="223"/>
      <c r="V46" s="223"/>
    </row>
    <row r="47" spans="1:22" ht="15" customHeight="1" thickBot="1">
      <c r="A47" s="283"/>
      <c r="B47" s="242"/>
      <c r="C47" s="304"/>
      <c r="D47" s="470"/>
      <c r="E47" s="466"/>
      <c r="F47" s="285"/>
      <c r="G47" s="468"/>
      <c r="H47" s="350" t="s">
        <v>10</v>
      </c>
      <c r="I47" s="385">
        <f>J47+L47</f>
        <v>20</v>
      </c>
      <c r="J47" s="386">
        <f>SUM(J42:J46)</f>
        <v>20</v>
      </c>
      <c r="K47" s="386"/>
      <c r="L47" s="387"/>
      <c r="M47" s="385">
        <f>N47+P47</f>
        <v>185</v>
      </c>
      <c r="N47" s="388">
        <f>SUM(N42:N46)</f>
        <v>50</v>
      </c>
      <c r="O47" s="388"/>
      <c r="P47" s="389">
        <f>SUM(P42:P46)</f>
        <v>135</v>
      </c>
      <c r="Q47" s="385">
        <f>R47+T47</f>
        <v>0</v>
      </c>
      <c r="R47" s="386"/>
      <c r="S47" s="386"/>
      <c r="T47" s="387">
        <f>SUM(T43:T46)</f>
        <v>0</v>
      </c>
      <c r="U47" s="345">
        <f>SUM(U43:U46)</f>
        <v>516</v>
      </c>
      <c r="V47" s="345">
        <f>SUM(V43:V46)</f>
        <v>1655</v>
      </c>
    </row>
    <row r="48" spans="1:22" ht="13.5" customHeight="1">
      <c r="A48" s="621" t="s">
        <v>9</v>
      </c>
      <c r="B48" s="591" t="s">
        <v>40</v>
      </c>
      <c r="C48" s="601" t="s">
        <v>11</v>
      </c>
      <c r="D48" s="611" t="s">
        <v>166</v>
      </c>
      <c r="E48" s="274" t="s">
        <v>65</v>
      </c>
      <c r="F48" s="660" t="s">
        <v>33</v>
      </c>
      <c r="G48" s="616" t="s">
        <v>105</v>
      </c>
      <c r="H48" s="225" t="s">
        <v>43</v>
      </c>
      <c r="I48" s="305">
        <f>J48+L48</f>
        <v>154.1</v>
      </c>
      <c r="J48" s="203"/>
      <c r="K48" s="203"/>
      <c r="L48" s="204">
        <v>154.1</v>
      </c>
      <c r="M48" s="305">
        <f>N48+P48</f>
        <v>12.4</v>
      </c>
      <c r="N48" s="203"/>
      <c r="O48" s="203"/>
      <c r="P48" s="204">
        <v>12.4</v>
      </c>
      <c r="Q48" s="396">
        <f>R48+T48</f>
        <v>12.4</v>
      </c>
      <c r="R48" s="397"/>
      <c r="S48" s="397"/>
      <c r="T48" s="398">
        <v>12.4</v>
      </c>
      <c r="U48" s="224"/>
      <c r="V48" s="225"/>
    </row>
    <row r="49" spans="1:22" ht="13.5" customHeight="1">
      <c r="A49" s="621"/>
      <c r="B49" s="591"/>
      <c r="C49" s="601"/>
      <c r="D49" s="611"/>
      <c r="E49" s="274"/>
      <c r="F49" s="660"/>
      <c r="G49" s="616"/>
      <c r="H49" s="275" t="s">
        <v>127</v>
      </c>
      <c r="I49" s="217">
        <f>J49+L49</f>
        <v>190.7</v>
      </c>
      <c r="J49" s="218"/>
      <c r="K49" s="218"/>
      <c r="L49" s="219">
        <v>190.7</v>
      </c>
      <c r="M49" s="217"/>
      <c r="N49" s="218"/>
      <c r="O49" s="218"/>
      <c r="P49" s="219"/>
      <c r="Q49" s="396"/>
      <c r="R49" s="397"/>
      <c r="S49" s="397"/>
      <c r="T49" s="398"/>
      <c r="U49" s="224"/>
      <c r="V49" s="225"/>
    </row>
    <row r="50" spans="1:22" ht="13.5" customHeight="1">
      <c r="A50" s="621"/>
      <c r="B50" s="591"/>
      <c r="C50" s="601"/>
      <c r="D50" s="612"/>
      <c r="E50" s="614"/>
      <c r="F50" s="660"/>
      <c r="G50" s="616"/>
      <c r="H50" s="205" t="s">
        <v>39</v>
      </c>
      <c r="I50" s="206">
        <f>J50+L50</f>
        <v>812.3</v>
      </c>
      <c r="J50" s="207"/>
      <c r="K50" s="207"/>
      <c r="L50" s="208">
        <v>812.3</v>
      </c>
      <c r="M50" s="206">
        <f>N50+P50</f>
        <v>70.099999999999994</v>
      </c>
      <c r="N50" s="207"/>
      <c r="O50" s="207"/>
      <c r="P50" s="208">
        <v>70.099999999999994</v>
      </c>
      <c r="Q50" s="396">
        <f>R50+T50</f>
        <v>70.099999999999994</v>
      </c>
      <c r="R50" s="397"/>
      <c r="S50" s="397"/>
      <c r="T50" s="398">
        <v>70.099999999999994</v>
      </c>
      <c r="U50" s="224"/>
      <c r="V50" s="225"/>
    </row>
    <row r="51" spans="1:22" ht="13.5" customHeight="1" thickBot="1">
      <c r="A51" s="594"/>
      <c r="B51" s="569"/>
      <c r="C51" s="602"/>
      <c r="D51" s="613"/>
      <c r="E51" s="615"/>
      <c r="F51" s="633"/>
      <c r="G51" s="617"/>
      <c r="H51" s="350" t="s">
        <v>10</v>
      </c>
      <c r="I51" s="385">
        <f>SUM(I48:I50)</f>
        <v>1157.0999999999999</v>
      </c>
      <c r="J51" s="386"/>
      <c r="K51" s="386"/>
      <c r="L51" s="387">
        <f>SUM(L48:L50)</f>
        <v>1157.0999999999999</v>
      </c>
      <c r="M51" s="385">
        <f>SUM(M48:M50)</f>
        <v>82.5</v>
      </c>
      <c r="N51" s="388"/>
      <c r="O51" s="388"/>
      <c r="P51" s="389">
        <f>SUM(P48:P50)</f>
        <v>82.5</v>
      </c>
      <c r="Q51" s="385">
        <f>R51+T51</f>
        <v>82.5</v>
      </c>
      <c r="R51" s="386"/>
      <c r="S51" s="386"/>
      <c r="T51" s="387">
        <f>SUM(T48:T50)</f>
        <v>82.5</v>
      </c>
      <c r="U51" s="389"/>
      <c r="V51" s="389"/>
    </row>
    <row r="52" spans="1:22" ht="15" customHeight="1">
      <c r="A52" s="592" t="s">
        <v>9</v>
      </c>
      <c r="B52" s="567" t="s">
        <v>40</v>
      </c>
      <c r="C52" s="603" t="s">
        <v>40</v>
      </c>
      <c r="D52" s="608" t="s">
        <v>112</v>
      </c>
      <c r="E52" s="209" t="s">
        <v>65</v>
      </c>
      <c r="F52" s="479" t="s">
        <v>33</v>
      </c>
      <c r="G52" s="634" t="s">
        <v>105</v>
      </c>
      <c r="H52" s="149" t="s">
        <v>64</v>
      </c>
      <c r="I52" s="121"/>
      <c r="J52" s="201"/>
      <c r="K52" s="201"/>
      <c r="L52" s="202"/>
      <c r="M52" s="211">
        <f>N52+P52</f>
        <v>1881.8</v>
      </c>
      <c r="N52" s="212"/>
      <c r="O52" s="212"/>
      <c r="P52" s="213">
        <v>1881.8</v>
      </c>
      <c r="Q52" s="402">
        <f>R52+T52</f>
        <v>1881.8</v>
      </c>
      <c r="R52" s="403"/>
      <c r="S52" s="403"/>
      <c r="T52" s="404">
        <v>1881.8</v>
      </c>
      <c r="U52" s="214"/>
      <c r="V52" s="215"/>
    </row>
    <row r="53" spans="1:22" ht="15" customHeight="1">
      <c r="A53" s="593"/>
      <c r="B53" s="568"/>
      <c r="C53" s="604"/>
      <c r="D53" s="609"/>
      <c r="E53" s="606"/>
      <c r="F53" s="480"/>
      <c r="G53" s="616"/>
      <c r="H53" s="216" t="s">
        <v>127</v>
      </c>
      <c r="I53" s="217">
        <f>J53+L53</f>
        <v>1300</v>
      </c>
      <c r="J53" s="218"/>
      <c r="K53" s="218"/>
      <c r="L53" s="219">
        <v>1300</v>
      </c>
      <c r="M53" s="220"/>
      <c r="N53" s="220"/>
      <c r="O53" s="220"/>
      <c r="P53" s="221"/>
      <c r="Q53" s="399"/>
      <c r="R53" s="400"/>
      <c r="S53" s="400"/>
      <c r="T53" s="401"/>
      <c r="U53" s="222"/>
      <c r="V53" s="223"/>
    </row>
    <row r="54" spans="1:22" ht="15" customHeight="1" thickBot="1">
      <c r="A54" s="594"/>
      <c r="B54" s="569"/>
      <c r="C54" s="605"/>
      <c r="D54" s="610"/>
      <c r="E54" s="607"/>
      <c r="F54" s="481"/>
      <c r="G54" s="617"/>
      <c r="H54" s="390" t="s">
        <v>10</v>
      </c>
      <c r="I54" s="385">
        <f>SUM(I52:I53)</f>
        <v>1300</v>
      </c>
      <c r="J54" s="386"/>
      <c r="K54" s="386"/>
      <c r="L54" s="387">
        <f>SUM(L52:L53)</f>
        <v>1300</v>
      </c>
      <c r="M54" s="388">
        <f>SUM(M52:M53)</f>
        <v>1881.8</v>
      </c>
      <c r="N54" s="388"/>
      <c r="O54" s="388"/>
      <c r="P54" s="391">
        <f>SUM(P52:P53)</f>
        <v>1881.8</v>
      </c>
      <c r="Q54" s="385">
        <f>SUM(Q52:Q53)</f>
        <v>1881.8</v>
      </c>
      <c r="R54" s="386"/>
      <c r="S54" s="386"/>
      <c r="T54" s="387">
        <f>SUM(T52:T53)</f>
        <v>1881.8</v>
      </c>
      <c r="U54" s="344"/>
      <c r="V54" s="345"/>
    </row>
    <row r="55" spans="1:22" ht="20.25" customHeight="1">
      <c r="A55" s="652" t="s">
        <v>9</v>
      </c>
      <c r="B55" s="664" t="s">
        <v>40</v>
      </c>
      <c r="C55" s="629" t="s">
        <v>41</v>
      </c>
      <c r="D55" s="669" t="s">
        <v>172</v>
      </c>
      <c r="E55" s="585" t="s">
        <v>63</v>
      </c>
      <c r="F55" s="631" t="s">
        <v>33</v>
      </c>
      <c r="G55" s="634" t="s">
        <v>105</v>
      </c>
      <c r="H55" s="266" t="s">
        <v>39</v>
      </c>
      <c r="I55" s="121"/>
      <c r="J55" s="201"/>
      <c r="K55" s="201"/>
      <c r="L55" s="202"/>
      <c r="M55" s="121">
        <f>N55+P55</f>
        <v>200</v>
      </c>
      <c r="N55" s="201"/>
      <c r="O55" s="201"/>
      <c r="P55" s="228">
        <v>200</v>
      </c>
      <c r="Q55" s="402">
        <f>R55+T55</f>
        <v>0</v>
      </c>
      <c r="R55" s="403"/>
      <c r="S55" s="403"/>
      <c r="T55" s="404">
        <f>200-200</f>
        <v>0</v>
      </c>
      <c r="U55" s="229">
        <f>236.4-236.4</f>
        <v>0</v>
      </c>
      <c r="V55" s="200"/>
    </row>
    <row r="56" spans="1:22" ht="18.75" customHeight="1">
      <c r="A56" s="593"/>
      <c r="B56" s="675"/>
      <c r="C56" s="604"/>
      <c r="D56" s="670"/>
      <c r="E56" s="586"/>
      <c r="F56" s="632"/>
      <c r="G56" s="635"/>
      <c r="H56" s="226" t="s">
        <v>64</v>
      </c>
      <c r="I56" s="206"/>
      <c r="J56" s="207"/>
      <c r="K56" s="207"/>
      <c r="L56" s="208" t="s">
        <v>114</v>
      </c>
      <c r="M56" s="206">
        <f>N56+P56</f>
        <v>1.9</v>
      </c>
      <c r="N56" s="207"/>
      <c r="O56" s="207"/>
      <c r="P56" s="227">
        <v>1.9</v>
      </c>
      <c r="Q56" s="393">
        <f>R56+T56</f>
        <v>0</v>
      </c>
      <c r="R56" s="394"/>
      <c r="S56" s="394"/>
      <c r="T56" s="395">
        <f>1.9-1.9</f>
        <v>0</v>
      </c>
      <c r="U56" s="415">
        <f>101.7-101.7</f>
        <v>0</v>
      </c>
      <c r="V56" s="205"/>
    </row>
    <row r="57" spans="1:22" ht="17.25" customHeight="1" thickBot="1">
      <c r="A57" s="653"/>
      <c r="B57" s="665"/>
      <c r="C57" s="630"/>
      <c r="D57" s="671"/>
      <c r="E57" s="587"/>
      <c r="F57" s="633"/>
      <c r="G57" s="617"/>
      <c r="H57" s="350" t="s">
        <v>10</v>
      </c>
      <c r="I57" s="385"/>
      <c r="J57" s="386"/>
      <c r="K57" s="386"/>
      <c r="L57" s="387"/>
      <c r="M57" s="385">
        <f>SUM(M55:M56)</f>
        <v>201.9</v>
      </c>
      <c r="N57" s="386"/>
      <c r="O57" s="386"/>
      <c r="P57" s="392">
        <f>SUM(P55:P56)</f>
        <v>201.9</v>
      </c>
      <c r="Q57" s="385">
        <f>R57+T57</f>
        <v>0</v>
      </c>
      <c r="R57" s="386"/>
      <c r="S57" s="386"/>
      <c r="T57" s="387">
        <f>SUM(T55:T56)</f>
        <v>0</v>
      </c>
      <c r="U57" s="344">
        <f>SUM(U55:U56)</f>
        <v>0</v>
      </c>
      <c r="V57" s="345"/>
    </row>
    <row r="58" spans="1:22" ht="18.75" customHeight="1">
      <c r="A58" s="652" t="s">
        <v>9</v>
      </c>
      <c r="B58" s="664" t="s">
        <v>40</v>
      </c>
      <c r="C58" s="629" t="s">
        <v>83</v>
      </c>
      <c r="D58" s="628" t="s">
        <v>96</v>
      </c>
      <c r="E58" s="585" t="s">
        <v>63</v>
      </c>
      <c r="F58" s="631" t="s">
        <v>33</v>
      </c>
      <c r="G58" s="634" t="s">
        <v>105</v>
      </c>
      <c r="H58" s="229" t="s">
        <v>42</v>
      </c>
      <c r="I58" s="121">
        <f>J58+L58</f>
        <v>23.8</v>
      </c>
      <c r="J58" s="201"/>
      <c r="K58" s="201"/>
      <c r="L58" s="228">
        <v>23.8</v>
      </c>
      <c r="M58" s="121"/>
      <c r="N58" s="201"/>
      <c r="O58" s="201"/>
      <c r="P58" s="228"/>
      <c r="Q58" s="402"/>
      <c r="R58" s="403"/>
      <c r="S58" s="403"/>
      <c r="T58" s="404"/>
      <c r="U58" s="229"/>
      <c r="V58" s="200"/>
    </row>
    <row r="59" spans="1:22" ht="16.5" customHeight="1" thickBot="1">
      <c r="A59" s="653"/>
      <c r="B59" s="665"/>
      <c r="C59" s="630"/>
      <c r="D59" s="613"/>
      <c r="E59" s="587"/>
      <c r="F59" s="633"/>
      <c r="G59" s="617"/>
      <c r="H59" s="390" t="s">
        <v>10</v>
      </c>
      <c r="I59" s="385">
        <f>SUM(I58)</f>
        <v>23.8</v>
      </c>
      <c r="J59" s="386"/>
      <c r="K59" s="386"/>
      <c r="L59" s="392">
        <f>SUM(L58)</f>
        <v>23.8</v>
      </c>
      <c r="M59" s="385"/>
      <c r="N59" s="386"/>
      <c r="O59" s="386"/>
      <c r="P59" s="392"/>
      <c r="Q59" s="385"/>
      <c r="R59" s="386"/>
      <c r="S59" s="386"/>
      <c r="T59" s="387"/>
      <c r="U59" s="344"/>
      <c r="V59" s="345"/>
    </row>
    <row r="60" spans="1:22" ht="14.25" customHeight="1" thickBot="1">
      <c r="A60" s="94" t="s">
        <v>9</v>
      </c>
      <c r="B60" s="169" t="s">
        <v>40</v>
      </c>
      <c r="C60" s="623" t="s">
        <v>12</v>
      </c>
      <c r="D60" s="623"/>
      <c r="E60" s="623"/>
      <c r="F60" s="623"/>
      <c r="G60" s="623"/>
      <c r="H60" s="623"/>
      <c r="I60" s="194">
        <f>J60+L60</f>
        <v>2500.8999999999996</v>
      </c>
      <c r="J60" s="257">
        <f>J47</f>
        <v>20</v>
      </c>
      <c r="K60" s="256">
        <f>K59+K57++K54+K51</f>
        <v>0</v>
      </c>
      <c r="L60" s="262">
        <f>L59+L57+L54+L51+L47</f>
        <v>2480.8999999999996</v>
      </c>
      <c r="M60" s="194">
        <f>N60+P60</f>
        <v>2351.1999999999998</v>
      </c>
      <c r="N60" s="257">
        <f>N47</f>
        <v>50</v>
      </c>
      <c r="O60" s="256">
        <f>O59+O57++O54+O51</f>
        <v>0</v>
      </c>
      <c r="P60" s="262">
        <f>P59+P57+P54+P51+P47</f>
        <v>2301.1999999999998</v>
      </c>
      <c r="Q60" s="194">
        <f>R60+T60</f>
        <v>1964.3</v>
      </c>
      <c r="R60" s="257">
        <f>R59+R57+R54+R51</f>
        <v>0</v>
      </c>
      <c r="S60" s="256">
        <f>S59+S57++S54+S51</f>
        <v>0</v>
      </c>
      <c r="T60" s="268">
        <f>T59+T57+T54+T51+T47</f>
        <v>1964.3</v>
      </c>
      <c r="U60" s="256">
        <f>U59+U57++U54+U51+U47</f>
        <v>516</v>
      </c>
      <c r="V60" s="263">
        <f>V59+V57+V54+V51+V47</f>
        <v>1655</v>
      </c>
    </row>
    <row r="61" spans="1:22" ht="15.75" customHeight="1" thickBot="1">
      <c r="A61" s="102" t="s">
        <v>9</v>
      </c>
      <c r="B61" s="672" t="s">
        <v>13</v>
      </c>
      <c r="C61" s="672"/>
      <c r="D61" s="672"/>
      <c r="E61" s="672"/>
      <c r="F61" s="672"/>
      <c r="G61" s="672"/>
      <c r="H61" s="672"/>
      <c r="I61" s="254">
        <f t="shared" ref="I61:V61" si="2">I60+I40+I28</f>
        <v>9533.6</v>
      </c>
      <c r="J61" s="258">
        <f t="shared" si="2"/>
        <v>7033.6</v>
      </c>
      <c r="K61" s="260">
        <f t="shared" si="2"/>
        <v>3936.1</v>
      </c>
      <c r="L61" s="258">
        <f t="shared" si="2"/>
        <v>2499.9999999999995</v>
      </c>
      <c r="M61" s="254">
        <f t="shared" si="2"/>
        <v>9303.9</v>
      </c>
      <c r="N61" s="258">
        <f t="shared" si="2"/>
        <v>6990.2</v>
      </c>
      <c r="O61" s="260">
        <f t="shared" si="2"/>
        <v>3920.0999999999995</v>
      </c>
      <c r="P61" s="258">
        <f t="shared" si="2"/>
        <v>2313.6999999999998</v>
      </c>
      <c r="Q61" s="254">
        <f t="shared" si="2"/>
        <v>8508.0999999999985</v>
      </c>
      <c r="R61" s="258">
        <f t="shared" si="2"/>
        <v>6543.7999999999993</v>
      </c>
      <c r="S61" s="260">
        <f t="shared" si="2"/>
        <v>3779.9000000000005</v>
      </c>
      <c r="T61" s="269">
        <f t="shared" si="2"/>
        <v>1964.3</v>
      </c>
      <c r="U61" s="260">
        <f t="shared" si="2"/>
        <v>8694.3000000000011</v>
      </c>
      <c r="V61" s="264">
        <f t="shared" si="2"/>
        <v>9833.3000000000011</v>
      </c>
    </row>
    <row r="62" spans="1:22" ht="14.1" customHeight="1" thickBot="1">
      <c r="A62" s="170" t="s">
        <v>44</v>
      </c>
      <c r="B62" s="673" t="s">
        <v>14</v>
      </c>
      <c r="C62" s="674"/>
      <c r="D62" s="674"/>
      <c r="E62" s="674"/>
      <c r="F62" s="674"/>
      <c r="G62" s="674"/>
      <c r="H62" s="674"/>
      <c r="I62" s="255">
        <f>I61</f>
        <v>9533.6</v>
      </c>
      <c r="J62" s="259">
        <f>J61</f>
        <v>7033.6</v>
      </c>
      <c r="K62" s="261">
        <f>K61</f>
        <v>3936.1</v>
      </c>
      <c r="L62" s="259">
        <f>L61</f>
        <v>2499.9999999999995</v>
      </c>
      <c r="M62" s="255">
        <f t="shared" ref="M62:V62" si="3">M61</f>
        <v>9303.9</v>
      </c>
      <c r="N62" s="259">
        <f t="shared" si="3"/>
        <v>6990.2</v>
      </c>
      <c r="O62" s="261">
        <f t="shared" si="3"/>
        <v>3920.0999999999995</v>
      </c>
      <c r="P62" s="259">
        <f t="shared" si="3"/>
        <v>2313.6999999999998</v>
      </c>
      <c r="Q62" s="255">
        <f t="shared" si="3"/>
        <v>8508.0999999999985</v>
      </c>
      <c r="R62" s="259">
        <f t="shared" si="3"/>
        <v>6543.7999999999993</v>
      </c>
      <c r="S62" s="261">
        <f t="shared" si="3"/>
        <v>3779.9000000000005</v>
      </c>
      <c r="T62" s="270">
        <f t="shared" si="3"/>
        <v>1964.3</v>
      </c>
      <c r="U62" s="261">
        <f>U61</f>
        <v>8694.3000000000011</v>
      </c>
      <c r="V62" s="265">
        <f t="shared" si="3"/>
        <v>9833.3000000000011</v>
      </c>
    </row>
    <row r="63" spans="1:22" ht="15" customHeight="1">
      <c r="A63" s="663"/>
      <c r="B63" s="663"/>
      <c r="C63" s="663"/>
      <c r="D63" s="663"/>
      <c r="E63" s="663"/>
      <c r="F63" s="663"/>
      <c r="G63" s="663"/>
      <c r="H63" s="663"/>
      <c r="I63" s="663"/>
      <c r="J63" s="663"/>
      <c r="K63" s="663"/>
      <c r="L63" s="663"/>
      <c r="M63" s="663"/>
      <c r="N63" s="663"/>
      <c r="O63" s="663"/>
      <c r="P63" s="663"/>
      <c r="Q63" s="663"/>
      <c r="R63" s="663"/>
      <c r="S63" s="663"/>
      <c r="T63" s="663"/>
      <c r="U63" s="663"/>
      <c r="V63" s="663"/>
    </row>
    <row r="64" spans="1:22" ht="14.25" customHeight="1">
      <c r="A64" s="685" t="s">
        <v>20</v>
      </c>
      <c r="B64" s="685"/>
      <c r="C64" s="685"/>
      <c r="D64" s="685"/>
      <c r="E64" s="685"/>
      <c r="F64" s="685"/>
      <c r="G64" s="685"/>
      <c r="H64" s="685"/>
      <c r="I64" s="685"/>
      <c r="J64" s="685"/>
      <c r="K64" s="685"/>
      <c r="L64" s="685"/>
      <c r="M64" s="685"/>
      <c r="N64" s="685"/>
      <c r="O64" s="685"/>
      <c r="P64" s="685"/>
      <c r="Q64" s="685"/>
      <c r="R64" s="685"/>
      <c r="S64" s="685"/>
      <c r="T64" s="685"/>
      <c r="U64" s="173"/>
      <c r="V64" s="175"/>
    </row>
    <row r="65" spans="1:23" ht="12.75" customHeight="1" thickBot="1">
      <c r="A65" s="171"/>
      <c r="B65" s="172"/>
      <c r="C65" s="172"/>
      <c r="D65" s="172"/>
      <c r="E65" s="172"/>
      <c r="F65" s="172"/>
      <c r="G65" s="172"/>
      <c r="H65" s="176"/>
      <c r="I65" s="173"/>
      <c r="J65" s="173"/>
      <c r="K65" s="173"/>
      <c r="L65" s="173"/>
      <c r="M65" s="173"/>
      <c r="N65" s="173"/>
      <c r="O65" s="174"/>
      <c r="P65" s="173"/>
      <c r="Q65" s="654" t="s">
        <v>125</v>
      </c>
      <c r="R65" s="654"/>
      <c r="S65" s="654"/>
      <c r="T65" s="654"/>
      <c r="U65" s="173"/>
      <c r="V65" s="175"/>
    </row>
    <row r="66" spans="1:23" ht="25.5" customHeight="1" thickBot="1">
      <c r="A66" s="676" t="s">
        <v>15</v>
      </c>
      <c r="B66" s="677"/>
      <c r="C66" s="677"/>
      <c r="D66" s="677"/>
      <c r="E66" s="677"/>
      <c r="F66" s="677"/>
      <c r="G66" s="677"/>
      <c r="H66" s="678"/>
      <c r="I66" s="511" t="s">
        <v>107</v>
      </c>
      <c r="J66" s="501"/>
      <c r="K66" s="501"/>
      <c r="L66" s="502"/>
      <c r="M66" s="500" t="s">
        <v>108</v>
      </c>
      <c r="N66" s="501"/>
      <c r="O66" s="501"/>
      <c r="P66" s="503"/>
      <c r="Q66" s="500" t="s">
        <v>110</v>
      </c>
      <c r="R66" s="501"/>
      <c r="S66" s="501"/>
      <c r="T66" s="503"/>
      <c r="U66" s="177"/>
      <c r="V66" s="178"/>
    </row>
    <row r="67" spans="1:23" ht="12.75" customHeight="1" thickBot="1">
      <c r="A67" s="679" t="s">
        <v>21</v>
      </c>
      <c r="B67" s="680"/>
      <c r="C67" s="680"/>
      <c r="D67" s="680"/>
      <c r="E67" s="680"/>
      <c r="F67" s="680"/>
      <c r="G67" s="680"/>
      <c r="H67" s="681"/>
      <c r="I67" s="447">
        <f>I68+I75</f>
        <v>7571.2</v>
      </c>
      <c r="J67" s="447"/>
      <c r="K67" s="447"/>
      <c r="L67" s="448"/>
      <c r="M67" s="446">
        <f>M68+M75</f>
        <v>6452.6</v>
      </c>
      <c r="N67" s="447"/>
      <c r="O67" s="447"/>
      <c r="P67" s="448"/>
      <c r="Q67" s="446">
        <f>Q68+Q75</f>
        <v>5825.8</v>
      </c>
      <c r="R67" s="447"/>
      <c r="S67" s="447"/>
      <c r="T67" s="448"/>
      <c r="U67" s="179"/>
      <c r="V67" s="179"/>
    </row>
    <row r="68" spans="1:23" ht="12.75" customHeight="1" thickBot="1">
      <c r="A68" s="682" t="s">
        <v>82</v>
      </c>
      <c r="B68" s="683"/>
      <c r="C68" s="683"/>
      <c r="D68" s="683"/>
      <c r="E68" s="683"/>
      <c r="F68" s="683"/>
      <c r="G68" s="683"/>
      <c r="H68" s="684"/>
      <c r="I68" s="513">
        <f>SUM(I69:L74)</f>
        <v>7547.4</v>
      </c>
      <c r="J68" s="513"/>
      <c r="K68" s="513"/>
      <c r="L68" s="514"/>
      <c r="M68" s="512">
        <f>SUM(M69:P74)</f>
        <v>6452.6</v>
      </c>
      <c r="N68" s="513"/>
      <c r="O68" s="513"/>
      <c r="P68" s="514"/>
      <c r="Q68" s="512">
        <f>SUM(Q69:T74)</f>
        <v>5825.8</v>
      </c>
      <c r="R68" s="513"/>
      <c r="S68" s="513"/>
      <c r="T68" s="514"/>
      <c r="U68" s="179"/>
      <c r="V68" s="179"/>
    </row>
    <row r="69" spans="1:23" ht="13.5" customHeight="1">
      <c r="A69" s="541" t="s">
        <v>98</v>
      </c>
      <c r="B69" s="542"/>
      <c r="C69" s="542"/>
      <c r="D69" s="542"/>
      <c r="E69" s="542"/>
      <c r="F69" s="542"/>
      <c r="G69" s="542"/>
      <c r="H69" s="543"/>
      <c r="I69" s="544">
        <f>SUMIF(H12:H59,"SB",I12:I59)</f>
        <v>668.7</v>
      </c>
      <c r="J69" s="544"/>
      <c r="K69" s="544"/>
      <c r="L69" s="545"/>
      <c r="M69" s="662">
        <f>SUMIF(H12:H58,"SB",M12:M58)</f>
        <v>573.79999999999995</v>
      </c>
      <c r="N69" s="544"/>
      <c r="O69" s="544"/>
      <c r="P69" s="545"/>
      <c r="Q69" s="662">
        <f>SUMIF(H12:H58,"SB",Q12:Q59)</f>
        <v>516.79999999999995</v>
      </c>
      <c r="R69" s="544"/>
      <c r="S69" s="544"/>
      <c r="T69" s="545"/>
      <c r="U69" s="180"/>
      <c r="V69" s="180"/>
    </row>
    <row r="70" spans="1:23" ht="26.25" customHeight="1">
      <c r="A70" s="437" t="s">
        <v>99</v>
      </c>
      <c r="B70" s="438"/>
      <c r="C70" s="438"/>
      <c r="D70" s="438"/>
      <c r="E70" s="438"/>
      <c r="F70" s="438"/>
      <c r="G70" s="438"/>
      <c r="H70" s="439"/>
      <c r="I70" s="442">
        <f>SUMIF(H12:H58,"SB(AA)",I12:I58)</f>
        <v>266</v>
      </c>
      <c r="J70" s="442"/>
      <c r="K70" s="442"/>
      <c r="L70" s="449"/>
      <c r="M70" s="445">
        <f>SUMIF(H12:H58,"SB(AA)",M12:M58)</f>
        <v>300</v>
      </c>
      <c r="N70" s="442"/>
      <c r="O70" s="442"/>
      <c r="P70" s="449"/>
      <c r="Q70" s="445">
        <f>SUMIF(H12:H60,"SB(AA)",Q12:Q60)</f>
        <v>298</v>
      </c>
      <c r="R70" s="442"/>
      <c r="S70" s="442"/>
      <c r="T70" s="449"/>
      <c r="U70" s="180"/>
      <c r="V70" s="180"/>
    </row>
    <row r="71" spans="1:23" ht="27" customHeight="1">
      <c r="A71" s="437" t="s">
        <v>119</v>
      </c>
      <c r="B71" s="438"/>
      <c r="C71" s="438"/>
      <c r="D71" s="438"/>
      <c r="E71" s="438"/>
      <c r="F71" s="438"/>
      <c r="G71" s="438"/>
      <c r="H71" s="439"/>
      <c r="I71" s="442">
        <f>SUMIF(H12:H58,"SB(AAL)",I12:I58)</f>
        <v>0</v>
      </c>
      <c r="J71" s="442"/>
      <c r="K71" s="442"/>
      <c r="L71" s="449"/>
      <c r="M71" s="445">
        <f>SUMIF(H12:H58,"SB(AAL)",M12:M58)</f>
        <v>54</v>
      </c>
      <c r="N71" s="442"/>
      <c r="O71" s="442"/>
      <c r="P71" s="449"/>
      <c r="Q71" s="445">
        <f>SUMIF(H12:H58,"SB(AAL)",Q12:Q58)</f>
        <v>70</v>
      </c>
      <c r="R71" s="442"/>
      <c r="S71" s="442"/>
      <c r="T71" s="449"/>
      <c r="U71" s="180"/>
      <c r="V71" s="180" t="s">
        <v>114</v>
      </c>
      <c r="W71" s="408"/>
    </row>
    <row r="72" spans="1:23" ht="13.5" customHeight="1">
      <c r="A72" s="437" t="s">
        <v>117</v>
      </c>
      <c r="B72" s="438"/>
      <c r="C72" s="438"/>
      <c r="D72" s="438"/>
      <c r="E72" s="438"/>
      <c r="F72" s="438"/>
      <c r="G72" s="438"/>
      <c r="H72" s="439"/>
      <c r="I72" s="442">
        <f>SUMIF(H12:H58,"SB(SP)",I12:I58)</f>
        <v>100</v>
      </c>
      <c r="J72" s="442"/>
      <c r="K72" s="442"/>
      <c r="L72" s="449"/>
      <c r="M72" s="445">
        <f>SUMIF(H12:H58,"SB(SP)",M12:M58)</f>
        <v>115</v>
      </c>
      <c r="N72" s="442"/>
      <c r="O72" s="442"/>
      <c r="P72" s="449"/>
      <c r="Q72" s="445">
        <f>SUMIF(H12:H58,"SB(SP)",Q12:Q58)</f>
        <v>120</v>
      </c>
      <c r="R72" s="442"/>
      <c r="S72" s="442"/>
      <c r="T72" s="449"/>
      <c r="U72" s="180"/>
      <c r="V72" s="180"/>
    </row>
    <row r="73" spans="1:23" ht="27.75" customHeight="1">
      <c r="A73" s="437" t="s">
        <v>116</v>
      </c>
      <c r="B73" s="438"/>
      <c r="C73" s="438"/>
      <c r="D73" s="438"/>
      <c r="E73" s="438"/>
      <c r="F73" s="438"/>
      <c r="G73" s="438"/>
      <c r="H73" s="439"/>
      <c r="I73" s="442">
        <f>SUMIF(H12:H58,"SB(VB)",I12:I58)</f>
        <v>5022</v>
      </c>
      <c r="J73" s="442"/>
      <c r="K73" s="442"/>
      <c r="L73" s="449"/>
      <c r="M73" s="445">
        <f>SUMIF(H12:H58,"SB(VB)",M12:M58)</f>
        <v>5309.8</v>
      </c>
      <c r="N73" s="442"/>
      <c r="O73" s="442"/>
      <c r="P73" s="449"/>
      <c r="Q73" s="445">
        <f>SUMIF(H12:H58,"SB(VB)",Q12:Q58)</f>
        <v>4821</v>
      </c>
      <c r="R73" s="442"/>
      <c r="S73" s="442"/>
      <c r="T73" s="449"/>
      <c r="U73" s="181"/>
      <c r="V73" s="177"/>
    </row>
    <row r="74" spans="1:23" ht="12.75" customHeight="1">
      <c r="A74" s="437" t="s">
        <v>128</v>
      </c>
      <c r="B74" s="438"/>
      <c r="C74" s="438"/>
      <c r="D74" s="438"/>
      <c r="E74" s="438"/>
      <c r="F74" s="438"/>
      <c r="G74" s="438"/>
      <c r="H74" s="439"/>
      <c r="I74" s="442">
        <f>SUMIF(H12:H58,"sb(P)",I12:I58)</f>
        <v>1490.7</v>
      </c>
      <c r="J74" s="443"/>
      <c r="K74" s="443"/>
      <c r="L74" s="444"/>
      <c r="M74" s="445">
        <f>SUMIF(H12:H58,"sb(P)",M12:M58)</f>
        <v>100</v>
      </c>
      <c r="N74" s="443"/>
      <c r="O74" s="443"/>
      <c r="P74" s="444"/>
      <c r="Q74" s="445">
        <f>SUMIF(H12:H60,"SB(P)",Q12:Q60)</f>
        <v>0</v>
      </c>
      <c r="R74" s="443"/>
      <c r="S74" s="443"/>
      <c r="T74" s="444"/>
      <c r="U74" s="182"/>
      <c r="V74" s="182"/>
    </row>
    <row r="75" spans="1:23" ht="13.5" customHeight="1" thickBot="1">
      <c r="A75" s="538" t="s">
        <v>100</v>
      </c>
      <c r="B75" s="539"/>
      <c r="C75" s="539"/>
      <c r="D75" s="539"/>
      <c r="E75" s="539"/>
      <c r="F75" s="539"/>
      <c r="G75" s="539"/>
      <c r="H75" s="540"/>
      <c r="I75" s="453">
        <f>SUMIF(H12:H59,H58,I12:I59)</f>
        <v>23.8</v>
      </c>
      <c r="J75" s="451"/>
      <c r="K75" s="451"/>
      <c r="L75" s="452"/>
      <c r="M75" s="450">
        <f>SUMIF(H12:H58,H58,M12:M58)</f>
        <v>0</v>
      </c>
      <c r="N75" s="451"/>
      <c r="O75" s="451"/>
      <c r="P75" s="452"/>
      <c r="Q75" s="450">
        <f>SUMIF(H12:H60,"pf",Q12:Q60)</f>
        <v>0</v>
      </c>
      <c r="R75" s="453"/>
      <c r="S75" s="453"/>
      <c r="T75" s="452"/>
      <c r="U75" s="182"/>
      <c r="V75" s="182"/>
    </row>
    <row r="76" spans="1:23" ht="12" customHeight="1" thickBot="1">
      <c r="A76" s="532" t="s">
        <v>22</v>
      </c>
      <c r="B76" s="533"/>
      <c r="C76" s="533"/>
      <c r="D76" s="533"/>
      <c r="E76" s="533"/>
      <c r="F76" s="533"/>
      <c r="G76" s="533"/>
      <c r="H76" s="534"/>
      <c r="I76" s="447">
        <f>SUM(I77:L80)</f>
        <v>1962.3999999999999</v>
      </c>
      <c r="J76" s="447"/>
      <c r="K76" s="447"/>
      <c r="L76" s="448"/>
      <c r="M76" s="446">
        <f>SUM(M77:P80)</f>
        <v>2851.3</v>
      </c>
      <c r="N76" s="447"/>
      <c r="O76" s="447"/>
      <c r="P76" s="448"/>
      <c r="Q76" s="446">
        <f>SUM(Q77:T80)</f>
        <v>2682.3</v>
      </c>
      <c r="R76" s="447"/>
      <c r="S76" s="447"/>
      <c r="T76" s="448"/>
      <c r="U76" s="179"/>
      <c r="V76" s="179"/>
    </row>
    <row r="77" spans="1:23" ht="12" customHeight="1">
      <c r="A77" s="549" t="s">
        <v>101</v>
      </c>
      <c r="B77" s="550"/>
      <c r="C77" s="550"/>
      <c r="D77" s="550"/>
      <c r="E77" s="550"/>
      <c r="F77" s="550"/>
      <c r="G77" s="550"/>
      <c r="H77" s="551"/>
      <c r="I77" s="442">
        <f>SUMIF(H12:H59,"ES",I12:I59)</f>
        <v>812.3</v>
      </c>
      <c r="J77" s="442"/>
      <c r="K77" s="442"/>
      <c r="L77" s="449"/>
      <c r="M77" s="445">
        <f>SUMIF(H12:H58,"ES",M12:M58)</f>
        <v>270.10000000000002</v>
      </c>
      <c r="N77" s="442"/>
      <c r="O77" s="442"/>
      <c r="P77" s="449"/>
      <c r="Q77" s="445">
        <f>SUMIF(H12:H60,"ES",Q12:Q60)</f>
        <v>70.099999999999994</v>
      </c>
      <c r="R77" s="442"/>
      <c r="S77" s="442"/>
      <c r="T77" s="449"/>
      <c r="U77" s="182"/>
      <c r="V77" s="182"/>
    </row>
    <row r="78" spans="1:23" ht="12.75" customHeight="1">
      <c r="A78" s="437" t="s">
        <v>102</v>
      </c>
      <c r="B78" s="438"/>
      <c r="C78" s="438"/>
      <c r="D78" s="438"/>
      <c r="E78" s="438"/>
      <c r="F78" s="438"/>
      <c r="G78" s="438"/>
      <c r="H78" s="439"/>
      <c r="I78" s="442">
        <f>SUMIF(H12:H59,"LRVB",I12:I59)</f>
        <v>377.4</v>
      </c>
      <c r="J78" s="442"/>
      <c r="K78" s="442"/>
      <c r="L78" s="449"/>
      <c r="M78" s="445">
        <f>SUMIF(H12:H58,"LRVB",M12:M58)</f>
        <v>235.9</v>
      </c>
      <c r="N78" s="442"/>
      <c r="O78" s="442"/>
      <c r="P78" s="449"/>
      <c r="Q78" s="445">
        <f>SUMIF(H12:H58,"LRVB",Q12:Q58)</f>
        <v>226.8</v>
      </c>
      <c r="R78" s="442"/>
      <c r="S78" s="442"/>
      <c r="T78" s="449"/>
      <c r="U78" s="182"/>
      <c r="V78" s="182"/>
    </row>
    <row r="79" spans="1:23" ht="12.75" customHeight="1">
      <c r="A79" s="437" t="s">
        <v>109</v>
      </c>
      <c r="B79" s="438"/>
      <c r="C79" s="438"/>
      <c r="D79" s="438"/>
      <c r="E79" s="438"/>
      <c r="F79" s="438"/>
      <c r="G79" s="438"/>
      <c r="H79" s="439"/>
      <c r="I79" s="442">
        <f>SUMIF(H12:H58,"PSDF",I12:I58)</f>
        <v>772.7</v>
      </c>
      <c r="J79" s="442"/>
      <c r="K79" s="442"/>
      <c r="L79" s="449"/>
      <c r="M79" s="445">
        <f>SUMIF(H12:H58,"PSDF",M12:M58)</f>
        <v>426.59999999999997</v>
      </c>
      <c r="N79" s="442"/>
      <c r="O79" s="442"/>
      <c r="P79" s="449"/>
      <c r="Q79" s="445">
        <f>SUMIF(H12:H60,"PSDF",Q12:Q60)</f>
        <v>503.6</v>
      </c>
      <c r="R79" s="442"/>
      <c r="S79" s="442"/>
      <c r="T79" s="449"/>
      <c r="U79" s="182"/>
      <c r="V79" s="182"/>
    </row>
    <row r="80" spans="1:23" ht="13.5" customHeight="1" thickBot="1">
      <c r="A80" s="535" t="s">
        <v>103</v>
      </c>
      <c r="B80" s="536"/>
      <c r="C80" s="536"/>
      <c r="D80" s="536"/>
      <c r="E80" s="536"/>
      <c r="F80" s="536"/>
      <c r="G80" s="536"/>
      <c r="H80" s="537"/>
      <c r="I80" s="524">
        <f>SUMIF(H12:H58,"KT",I12:I58)</f>
        <v>0</v>
      </c>
      <c r="J80" s="524"/>
      <c r="K80" s="524"/>
      <c r="L80" s="525"/>
      <c r="M80" s="523">
        <f>SUMIF(H12:H58,"KT",M12:M58)</f>
        <v>1918.7</v>
      </c>
      <c r="N80" s="524"/>
      <c r="O80" s="524"/>
      <c r="P80" s="525"/>
      <c r="Q80" s="523">
        <f>SUMIF(H12:H60,"KT",Q12:Q60)</f>
        <v>1881.8</v>
      </c>
      <c r="R80" s="524"/>
      <c r="S80" s="524"/>
      <c r="T80" s="525"/>
      <c r="U80" s="182"/>
      <c r="V80" s="182"/>
    </row>
    <row r="81" spans="1:22" ht="13.5" customHeight="1" thickBot="1">
      <c r="A81" s="546" t="s">
        <v>23</v>
      </c>
      <c r="B81" s="547"/>
      <c r="C81" s="547"/>
      <c r="D81" s="547"/>
      <c r="E81" s="547"/>
      <c r="F81" s="547"/>
      <c r="G81" s="547"/>
      <c r="H81" s="548"/>
      <c r="I81" s="513">
        <f>I76+I67</f>
        <v>9533.6</v>
      </c>
      <c r="J81" s="513"/>
      <c r="K81" s="513"/>
      <c r="L81" s="514"/>
      <c r="M81" s="512">
        <f>M76+M67</f>
        <v>9303.9000000000015</v>
      </c>
      <c r="N81" s="513"/>
      <c r="O81" s="513"/>
      <c r="P81" s="514"/>
      <c r="Q81" s="512">
        <f>Q76+Q67</f>
        <v>8508.1</v>
      </c>
      <c r="R81" s="513"/>
      <c r="S81" s="513"/>
      <c r="T81" s="514"/>
      <c r="U81" s="179"/>
      <c r="V81" s="179"/>
    </row>
  </sheetData>
  <mergeCells count="179">
    <mergeCell ref="Q81:T81"/>
    <mergeCell ref="Q80:T80"/>
    <mergeCell ref="D30:D32"/>
    <mergeCell ref="D55:D57"/>
    <mergeCell ref="G52:G54"/>
    <mergeCell ref="Q77:T77"/>
    <mergeCell ref="B61:H61"/>
    <mergeCell ref="Q69:T69"/>
    <mergeCell ref="Q68:T68"/>
    <mergeCell ref="I68:L68"/>
    <mergeCell ref="M66:P66"/>
    <mergeCell ref="I67:L67"/>
    <mergeCell ref="B62:H62"/>
    <mergeCell ref="G58:G59"/>
    <mergeCell ref="B55:B57"/>
    <mergeCell ref="F58:F59"/>
    <mergeCell ref="A66:H66"/>
    <mergeCell ref="A67:H67"/>
    <mergeCell ref="A68:H68"/>
    <mergeCell ref="C60:H60"/>
    <mergeCell ref="A64:T64"/>
    <mergeCell ref="M70:P70"/>
    <mergeCell ref="C55:C57"/>
    <mergeCell ref="A55:A57"/>
    <mergeCell ref="U1:V1"/>
    <mergeCell ref="M69:P69"/>
    <mergeCell ref="Q79:T79"/>
    <mergeCell ref="Q72:T72"/>
    <mergeCell ref="Q70:T70"/>
    <mergeCell ref="Q74:T74"/>
    <mergeCell ref="Q76:T76"/>
    <mergeCell ref="Q71:T71"/>
    <mergeCell ref="Q78:T78"/>
    <mergeCell ref="M79:P79"/>
    <mergeCell ref="Q73:T73"/>
    <mergeCell ref="A63:V63"/>
    <mergeCell ref="M67:P67"/>
    <mergeCell ref="I66:L66"/>
    <mergeCell ref="Q67:T67"/>
    <mergeCell ref="Q66:T66"/>
    <mergeCell ref="M68:P68"/>
    <mergeCell ref="A73:H73"/>
    <mergeCell ref="A72:H72"/>
    <mergeCell ref="A71:H71"/>
    <mergeCell ref="A70:H70"/>
    <mergeCell ref="B58:B59"/>
    <mergeCell ref="M72:P72"/>
    <mergeCell ref="I70:L70"/>
    <mergeCell ref="G23:G25"/>
    <mergeCell ref="C29:V29"/>
    <mergeCell ref="Q75:T75"/>
    <mergeCell ref="D58:D59"/>
    <mergeCell ref="C58:C59"/>
    <mergeCell ref="F55:F57"/>
    <mergeCell ref="G55:G57"/>
    <mergeCell ref="A3:V3"/>
    <mergeCell ref="B20:B22"/>
    <mergeCell ref="P6:P7"/>
    <mergeCell ref="A9:V9"/>
    <mergeCell ref="C17:C19"/>
    <mergeCell ref="D17:D19"/>
    <mergeCell ref="C20:C22"/>
    <mergeCell ref="F12:F16"/>
    <mergeCell ref="G12:G16"/>
    <mergeCell ref="C11:V11"/>
    <mergeCell ref="A58:A59"/>
    <mergeCell ref="Q65:T65"/>
    <mergeCell ref="G38:G39"/>
    <mergeCell ref="E38:E39"/>
    <mergeCell ref="F38:F39"/>
    <mergeCell ref="E58:E59"/>
    <mergeCell ref="F48:F51"/>
    <mergeCell ref="E55:E57"/>
    <mergeCell ref="C41:V41"/>
    <mergeCell ref="B48:B51"/>
    <mergeCell ref="A52:A54"/>
    <mergeCell ref="B52:B54"/>
    <mergeCell ref="A38:A39"/>
    <mergeCell ref="B38:B39"/>
    <mergeCell ref="C38:C39"/>
    <mergeCell ref="D38:D39"/>
    <mergeCell ref="C48:C51"/>
    <mergeCell ref="C52:C54"/>
    <mergeCell ref="E53:E54"/>
    <mergeCell ref="D52:D54"/>
    <mergeCell ref="D48:D51"/>
    <mergeCell ref="E50:E51"/>
    <mergeCell ref="G48:G51"/>
    <mergeCell ref="D44:D45"/>
    <mergeCell ref="G43:G45"/>
    <mergeCell ref="A48:A51"/>
    <mergeCell ref="C40:H40"/>
    <mergeCell ref="G17:G19"/>
    <mergeCell ref="A12:A16"/>
    <mergeCell ref="F17:F19"/>
    <mergeCell ref="B12:B16"/>
    <mergeCell ref="L6:L7"/>
    <mergeCell ref="C12:C16"/>
    <mergeCell ref="D12:D16"/>
    <mergeCell ref="E12:E16"/>
    <mergeCell ref="F5:F7"/>
    <mergeCell ref="J6:K6"/>
    <mergeCell ref="H5:H7"/>
    <mergeCell ref="I6:I7"/>
    <mergeCell ref="F23:F25"/>
    <mergeCell ref="A20:A22"/>
    <mergeCell ref="C23:C25"/>
    <mergeCell ref="D23:D25"/>
    <mergeCell ref="E23:E25"/>
    <mergeCell ref="A23:A25"/>
    <mergeCell ref="B23:B25"/>
    <mergeCell ref="E20:E22"/>
    <mergeCell ref="F20:F22"/>
    <mergeCell ref="D20:D22"/>
    <mergeCell ref="M81:P81"/>
    <mergeCell ref="B10:V10"/>
    <mergeCell ref="A8:V8"/>
    <mergeCell ref="G5:G7"/>
    <mergeCell ref="M77:P77"/>
    <mergeCell ref="M78:P78"/>
    <mergeCell ref="M80:P80"/>
    <mergeCell ref="I77:L77"/>
    <mergeCell ref="E17:E19"/>
    <mergeCell ref="G20:G22"/>
    <mergeCell ref="I78:L78"/>
    <mergeCell ref="I79:L79"/>
    <mergeCell ref="I80:L80"/>
    <mergeCell ref="A76:H76"/>
    <mergeCell ref="A80:H80"/>
    <mergeCell ref="I76:L76"/>
    <mergeCell ref="A74:H74"/>
    <mergeCell ref="A75:H75"/>
    <mergeCell ref="I81:L81"/>
    <mergeCell ref="I71:L71"/>
    <mergeCell ref="A69:H69"/>
    <mergeCell ref="I69:L69"/>
    <mergeCell ref="A81:H81"/>
    <mergeCell ref="A77:H77"/>
    <mergeCell ref="A2:V2"/>
    <mergeCell ref="A5:A7"/>
    <mergeCell ref="B5:B7"/>
    <mergeCell ref="C5:C7"/>
    <mergeCell ref="D5:D7"/>
    <mergeCell ref="E5:E7"/>
    <mergeCell ref="A4:V4"/>
    <mergeCell ref="V5:V7"/>
    <mergeCell ref="I5:L5"/>
    <mergeCell ref="M5:P5"/>
    <mergeCell ref="U5:U7"/>
    <mergeCell ref="T6:T7"/>
    <mergeCell ref="Q6:Q7"/>
    <mergeCell ref="R6:S6"/>
    <mergeCell ref="M6:M7"/>
    <mergeCell ref="N6:O6"/>
    <mergeCell ref="Q5:T5"/>
    <mergeCell ref="A78:H78"/>
    <mergeCell ref="A79:H79"/>
    <mergeCell ref="F26:F27"/>
    <mergeCell ref="I74:L74"/>
    <mergeCell ref="M74:P74"/>
    <mergeCell ref="M76:P76"/>
    <mergeCell ref="M71:P71"/>
    <mergeCell ref="M73:P73"/>
    <mergeCell ref="I72:L72"/>
    <mergeCell ref="I73:L73"/>
    <mergeCell ref="M75:P75"/>
    <mergeCell ref="I75:L75"/>
    <mergeCell ref="A26:A27"/>
    <mergeCell ref="B26:B27"/>
    <mergeCell ref="C26:C27"/>
    <mergeCell ref="D26:D27"/>
    <mergeCell ref="G26:G27"/>
    <mergeCell ref="E42:E47"/>
    <mergeCell ref="G46:G47"/>
    <mergeCell ref="D46:D47"/>
    <mergeCell ref="E26:E27"/>
    <mergeCell ref="C28:H28"/>
    <mergeCell ref="D33:D37"/>
    <mergeCell ref="F52:F54"/>
  </mergeCells>
  <phoneticPr fontId="8" type="noConversion"/>
  <printOptions horizontalCentered="1"/>
  <pageMargins left="0" right="0" top="0.78740157480314965" bottom="0" header="0.31496062992125984" footer="0.31496062992125984"/>
  <pageSetup paperSize="9" scale="95" orientation="landscape" r:id="rId1"/>
  <headerFooter alignWithMargins="0">
    <oddFooter>Puslapių &amp;P</oddFooter>
  </headerFooter>
  <rowBreaks count="2" manualBreakCount="2">
    <brk id="25" max="16383" man="1"/>
    <brk id="4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D11" sqref="D11"/>
    </sheetView>
  </sheetViews>
  <sheetFormatPr defaultRowHeight="12.75"/>
  <cols>
    <col min="1" max="1" width="43.5703125" customWidth="1"/>
    <col min="2" max="2" width="11.7109375" customWidth="1"/>
    <col min="3" max="3" width="11.85546875" customWidth="1"/>
    <col min="4" max="4" width="11" customWidth="1"/>
    <col min="5" max="6" width="11.28515625" customWidth="1"/>
  </cols>
  <sheetData>
    <row r="1" spans="1:8" ht="10.5" customHeight="1"/>
    <row r="2" spans="1:8" ht="15.75" customHeight="1">
      <c r="A2" s="688" t="s">
        <v>45</v>
      </c>
      <c r="B2" s="688"/>
      <c r="C2" s="688"/>
      <c r="D2" s="688"/>
      <c r="E2" s="688"/>
      <c r="F2" s="688"/>
    </row>
    <row r="3" spans="1:8" ht="15" customHeight="1" thickBot="1">
      <c r="F3" s="68" t="s">
        <v>0</v>
      </c>
    </row>
    <row r="4" spans="1:8" ht="19.5" customHeight="1">
      <c r="A4" s="692" t="s">
        <v>16</v>
      </c>
      <c r="B4" s="689" t="s">
        <v>107</v>
      </c>
      <c r="C4" s="692" t="s">
        <v>113</v>
      </c>
      <c r="D4" s="689" t="s">
        <v>173</v>
      </c>
      <c r="E4" s="689" t="s">
        <v>84</v>
      </c>
      <c r="F4" s="689" t="s">
        <v>111</v>
      </c>
    </row>
    <row r="5" spans="1:8" ht="19.5" customHeight="1">
      <c r="A5" s="695"/>
      <c r="B5" s="690"/>
      <c r="C5" s="693"/>
      <c r="D5" s="690"/>
      <c r="E5" s="690"/>
      <c r="F5" s="690"/>
    </row>
    <row r="6" spans="1:8" ht="19.5" customHeight="1">
      <c r="A6" s="695"/>
      <c r="B6" s="690"/>
      <c r="C6" s="693"/>
      <c r="D6" s="690"/>
      <c r="E6" s="690"/>
      <c r="F6" s="690"/>
      <c r="G6" s="10"/>
      <c r="H6" s="10"/>
    </row>
    <row r="7" spans="1:8" ht="19.5" customHeight="1" thickBot="1">
      <c r="A7" s="696"/>
      <c r="B7" s="691"/>
      <c r="C7" s="694"/>
      <c r="D7" s="691"/>
      <c r="E7" s="691"/>
      <c r="F7" s="691"/>
      <c r="G7" s="10"/>
      <c r="H7" s="10"/>
    </row>
    <row r="8" spans="1:8" ht="17.25" customHeight="1">
      <c r="A8" s="321" t="s">
        <v>24</v>
      </c>
      <c r="B8" s="322">
        <f>B9+B11</f>
        <v>9533.6</v>
      </c>
      <c r="C8" s="323">
        <f>C9+C11</f>
        <v>9303.9</v>
      </c>
      <c r="D8" s="322">
        <f>D9+D11</f>
        <v>8508.0999999999985</v>
      </c>
      <c r="E8" s="322">
        <f>SUM('1 lentelė'!U62)</f>
        <v>8694.3000000000011</v>
      </c>
      <c r="F8" s="324">
        <f>SUM('1 lentelė'!V62)</f>
        <v>9833.3000000000011</v>
      </c>
      <c r="G8" s="11"/>
      <c r="H8" s="10"/>
    </row>
    <row r="9" spans="1:8" ht="15" customHeight="1">
      <c r="A9" s="22" t="s">
        <v>30</v>
      </c>
      <c r="B9" s="4">
        <f>'1 lentelė'!J62</f>
        <v>7033.6</v>
      </c>
      <c r="C9" s="2">
        <f>'1 lentelė'!N62</f>
        <v>6990.2</v>
      </c>
      <c r="D9" s="327">
        <f>'1 lentelė'!R62</f>
        <v>6543.7999999999993</v>
      </c>
      <c r="E9" s="4"/>
      <c r="F9" s="63"/>
      <c r="G9" s="10"/>
      <c r="H9" s="10"/>
    </row>
    <row r="10" spans="1:8" ht="16.5" customHeight="1">
      <c r="A10" s="18" t="s">
        <v>31</v>
      </c>
      <c r="B10" s="5">
        <f>'1 lentelė'!K62</f>
        <v>3936.1</v>
      </c>
      <c r="C10" s="3">
        <f>'1 lentelė'!O62</f>
        <v>3920.0999999999995</v>
      </c>
      <c r="D10" s="328">
        <f>'1 lentelė'!S62</f>
        <v>3779.9000000000005</v>
      </c>
      <c r="E10" s="4"/>
      <c r="F10" s="64"/>
      <c r="G10" s="10"/>
      <c r="H10" s="10"/>
    </row>
    <row r="11" spans="1:8" ht="27.75" customHeight="1" thickBot="1">
      <c r="A11" s="23" t="s">
        <v>17</v>
      </c>
      <c r="B11" s="14">
        <f>'1 lentelė'!L62</f>
        <v>2499.9999999999995</v>
      </c>
      <c r="C11" s="15">
        <f>'1 lentelė'!P62</f>
        <v>2313.6999999999998</v>
      </c>
      <c r="D11" s="329">
        <f>'1 lentelė'!T62</f>
        <v>1964.3</v>
      </c>
      <c r="E11" s="14"/>
      <c r="F11" s="65"/>
      <c r="G11" s="10"/>
      <c r="H11" s="10"/>
    </row>
    <row r="12" spans="1:8" ht="19.5" customHeight="1" thickBot="1">
      <c r="A12" s="325" t="s">
        <v>27</v>
      </c>
      <c r="B12" s="326">
        <f>B22+B13</f>
        <v>9533.6</v>
      </c>
      <c r="C12" s="326">
        <f>C13+C22</f>
        <v>9303.9000000000015</v>
      </c>
      <c r="D12" s="326">
        <f>D13+D22</f>
        <v>8508.1</v>
      </c>
      <c r="E12" s="326">
        <f>E13+E22</f>
        <v>8694.2999999999993</v>
      </c>
      <c r="F12" s="326">
        <f>F13+F22</f>
        <v>9833.2999999999993</v>
      </c>
    </row>
    <row r="13" spans="1:8" ht="18" customHeight="1" thickBot="1">
      <c r="A13" s="24" t="s">
        <v>26</v>
      </c>
      <c r="B13" s="12">
        <f>B14+B21</f>
        <v>7571.2</v>
      </c>
      <c r="C13" s="12">
        <f>C14+C21</f>
        <v>6452.6</v>
      </c>
      <c r="D13" s="12">
        <f>D14+D21</f>
        <v>5825.8</v>
      </c>
      <c r="E13" s="12">
        <f>E14+E21</f>
        <v>7567.5</v>
      </c>
      <c r="F13" s="12">
        <f>F14+F21</f>
        <v>7266.5</v>
      </c>
    </row>
    <row r="14" spans="1:8" ht="18" customHeight="1">
      <c r="A14" s="25" t="s">
        <v>72</v>
      </c>
      <c r="B14" s="6">
        <f>SUM(B15:B20)</f>
        <v>7547.4</v>
      </c>
      <c r="C14" s="6">
        <f>SUM(C15:C20)</f>
        <v>6452.6</v>
      </c>
      <c r="D14" s="330">
        <f>SUM(D15:D20)</f>
        <v>5825.8</v>
      </c>
      <c r="E14" s="6">
        <f>SUM(E15:E20)</f>
        <v>7567.5</v>
      </c>
      <c r="F14" s="6">
        <f>SUM(F15:F20)</f>
        <v>7266.5</v>
      </c>
    </row>
    <row r="15" spans="1:8" ht="18" customHeight="1">
      <c r="A15" s="19" t="s">
        <v>73</v>
      </c>
      <c r="B15" s="7">
        <f>SUM('1 lentelė'!I69:L69)</f>
        <v>668.7</v>
      </c>
      <c r="C15" s="7">
        <f>'1 lentelė'!M69</f>
        <v>573.79999999999995</v>
      </c>
      <c r="D15" s="328">
        <f>'1 lentelė'!Q69</f>
        <v>516.79999999999995</v>
      </c>
      <c r="E15" s="7">
        <f>SUMIF('1 lentelė'!H58:'1 lentelė'!H12,"SB",'1 lentelė'!U12:'1 lentelė'!U58)</f>
        <v>817.8</v>
      </c>
      <c r="F15" s="7">
        <f>SUMIF('1 lentelė'!H58:'1 lentelė'!H12,"sb",'1 lentelė'!V12:'1 lentelė'!V58)</f>
        <v>817.8</v>
      </c>
      <c r="H15" s="13"/>
    </row>
    <row r="16" spans="1:8" ht="39" customHeight="1">
      <c r="A16" s="18" t="s">
        <v>167</v>
      </c>
      <c r="B16" s="4">
        <f>SUM('1 lentelė'!I70:L70)</f>
        <v>266</v>
      </c>
      <c r="C16" s="4">
        <f>'1 lentelė'!M70</f>
        <v>300</v>
      </c>
      <c r="D16" s="327">
        <f>'1 lentelė'!Q70</f>
        <v>298</v>
      </c>
      <c r="E16" s="4">
        <f>SUMIF('1 lentelė'!H58:'1 lentelė'!H12,"SB(AA)",'1 lentelė'!U12:'1 lentelė'!U58)</f>
        <v>280</v>
      </c>
      <c r="F16" s="7">
        <f>SUMIF('1 lentelė'!H58:'1 lentelė'!H12,"sb(aa)",'1 lentelė'!V12:'1 lentelė'!V58)</f>
        <v>280</v>
      </c>
    </row>
    <row r="17" spans="1:9" ht="38.25" customHeight="1">
      <c r="A17" s="18" t="s">
        <v>168</v>
      </c>
      <c r="B17" s="4">
        <f>SUM('1 lentelė'!I71:L71)</f>
        <v>0</v>
      </c>
      <c r="C17" s="4">
        <f>SUM('1 lentelė'!M71:P71)</f>
        <v>54</v>
      </c>
      <c r="D17" s="327">
        <f>SUMIF('1 lentelė'!H58:'1 lentelė'!H12,"sb(aal)",'1 lentelė'!Q12:'1 lentelė'!Q58)</f>
        <v>70</v>
      </c>
      <c r="E17" s="4">
        <v>30</v>
      </c>
      <c r="F17" s="4">
        <f>SUM('1 lentelė'!V14)</f>
        <v>30</v>
      </c>
    </row>
    <row r="18" spans="1:9" ht="30.75" customHeight="1">
      <c r="A18" s="18" t="s">
        <v>106</v>
      </c>
      <c r="B18" s="8">
        <f>'1 lentelė'!I72</f>
        <v>100</v>
      </c>
      <c r="C18" s="8">
        <f>SUM('1 lentelė'!M72:P72)</f>
        <v>115</v>
      </c>
      <c r="D18" s="331">
        <f>'1 lentelė'!Q72</f>
        <v>120</v>
      </c>
      <c r="E18" s="8">
        <f>SUMIF('1 lentelė'!H58:'1 lentelė'!H12,"SB(SP)",'1 lentelė'!U12:'1 lentelė'!U58)</f>
        <v>100</v>
      </c>
      <c r="F18" s="8">
        <f>SUMIF('1 lentelė'!H58:'1 lentelė'!H12,"sb(sp)",'1 lentelė'!V12:'1 lentelė'!V58)</f>
        <v>100</v>
      </c>
    </row>
    <row r="19" spans="1:9" ht="28.5" customHeight="1">
      <c r="A19" s="18" t="s">
        <v>74</v>
      </c>
      <c r="B19" s="4">
        <f>SUM('1 lentelė'!I73:L73)</f>
        <v>5022</v>
      </c>
      <c r="C19" s="4">
        <f>SUM('1 lentelė'!M73:P73)</f>
        <v>5309.8</v>
      </c>
      <c r="D19" s="327">
        <f>'1 lentelė'!Q73</f>
        <v>4821</v>
      </c>
      <c r="E19" s="4">
        <f>SUMIF('1 lentelė'!H58:'1 lentelė'!H12,"SB(VB)",'1 lentelė'!U12:'1 lentelė'!U58)</f>
        <v>6038.7</v>
      </c>
      <c r="F19" s="4">
        <f>SUMIF('1 lentelė'!H58:'1 lentelė'!H12,"sb(vb)",'1 lentelė'!V12:'1 lentelė'!V58)</f>
        <v>6038.7</v>
      </c>
    </row>
    <row r="20" spans="1:9" ht="15.75" customHeight="1">
      <c r="A20" s="19" t="s">
        <v>129</v>
      </c>
      <c r="B20" s="7">
        <f>'1 lentelė'!I74</f>
        <v>1490.7</v>
      </c>
      <c r="C20" s="7">
        <f>'1 lentelė'!M74</f>
        <v>100</v>
      </c>
      <c r="D20" s="328">
        <f>'1 lentelė'!Q74</f>
        <v>0</v>
      </c>
      <c r="E20" s="7">
        <f>SUMIF('1 lentelė'!H58:'1 lentelė'!H12,"sb(P)",'1 lentelė'!U12:'1 lentelė'!U58)</f>
        <v>301</v>
      </c>
      <c r="F20" s="7">
        <f>SUMIF('1 lentelė'!H12:'1 lentelė'!H58,"sb(p)",'1 lentelė'!V58:'1 lentelė'!V12)</f>
        <v>0</v>
      </c>
    </row>
    <row r="21" spans="1:9" ht="27.75" customHeight="1" thickBot="1">
      <c r="A21" s="26" t="s">
        <v>28</v>
      </c>
      <c r="B21" s="6">
        <f>SUM('1 lentelė'!I75:L75)</f>
        <v>23.8</v>
      </c>
      <c r="C21" s="6">
        <f>'1 lentelė'!M75</f>
        <v>0</v>
      </c>
      <c r="D21" s="330">
        <f>'1 lentelė'!Q75</f>
        <v>0</v>
      </c>
      <c r="E21" s="6">
        <f>SUMIF('1 lentelė'!H58:'1 lentelė'!H12,"PF",'1 lentelė'!U12:'1 lentelė'!U58)</f>
        <v>0</v>
      </c>
      <c r="F21" s="27"/>
    </row>
    <row r="22" spans="1:9" ht="15.75" customHeight="1" thickBot="1">
      <c r="A22" s="28" t="s">
        <v>25</v>
      </c>
      <c r="B22" s="12">
        <f>SUM(B23:B26)</f>
        <v>1962.3999999999999</v>
      </c>
      <c r="C22" s="12">
        <f>SUM(C23:C26)</f>
        <v>2851.3</v>
      </c>
      <c r="D22" s="12">
        <f>SUM(D23:D26)</f>
        <v>2682.3</v>
      </c>
      <c r="E22" s="12">
        <f>SUM(E23:E26)</f>
        <v>1126.8</v>
      </c>
      <c r="F22" s="12">
        <f>SUM(F23:F26)</f>
        <v>2566.8000000000002</v>
      </c>
    </row>
    <row r="23" spans="1:9" ht="16.5" customHeight="1">
      <c r="A23" s="16" t="s">
        <v>70</v>
      </c>
      <c r="B23" s="17">
        <f>'1 lentelė'!I77</f>
        <v>812.3</v>
      </c>
      <c r="C23" s="17">
        <f>SUM('1 lentelė'!M77:P77)</f>
        <v>270.10000000000002</v>
      </c>
      <c r="D23" s="332">
        <f>'1 lentelė'!Q77</f>
        <v>70.099999999999994</v>
      </c>
      <c r="E23" s="17">
        <f>SUMIF('1 lentelė'!H58:'1 lentelė'!H12,"ES",'1 lentelė'!U12:'1 lentelė'!U58)</f>
        <v>0</v>
      </c>
      <c r="F23" s="17">
        <f>SUMIF('1 lentelė'!H58:'1 lentelė'!H12,"es",'1 lentelė'!V12:'1 lentelė'!V58)</f>
        <v>0</v>
      </c>
    </row>
    <row r="24" spans="1:9" ht="15.75" customHeight="1">
      <c r="A24" s="20" t="s">
        <v>75</v>
      </c>
      <c r="B24" s="9">
        <f>'1 lentelė'!I78</f>
        <v>377.4</v>
      </c>
      <c r="C24" s="7">
        <f>SUM('1 lentelė'!M78:P78)</f>
        <v>235.9</v>
      </c>
      <c r="D24" s="333">
        <f>'1 lentelė'!Q78</f>
        <v>226.8</v>
      </c>
      <c r="E24" s="9">
        <f>SUMIF('1 lentelė'!H58:'1 lentelė'!H12,"LRVB",'1 lentelė'!U12:'1 lentelė'!U58)</f>
        <v>223.3</v>
      </c>
      <c r="F24" s="9">
        <f>SUMIF('1 lentelė'!H58:'1 lentelė'!H12,"lrvb",'1 lentelė'!V12:'1 lentelė'!V58)</f>
        <v>223.3</v>
      </c>
      <c r="I24" s="13"/>
    </row>
    <row r="25" spans="1:9" ht="28.5" customHeight="1">
      <c r="A25" s="19" t="s">
        <v>169</v>
      </c>
      <c r="B25" s="7">
        <f>'1 lentelė'!I79</f>
        <v>772.7</v>
      </c>
      <c r="C25" s="7">
        <f>SUM('1 lentelė'!M79:P79)</f>
        <v>426.59999999999997</v>
      </c>
      <c r="D25" s="328">
        <f>'1 lentelė'!Q79</f>
        <v>503.6</v>
      </c>
      <c r="E25" s="7">
        <f>SUMIF('1 lentelė'!H58:'1 lentelė'!H12,"PSDF",'1 lentelė'!U12:'1 lentelė'!U58)</f>
        <v>688.5</v>
      </c>
      <c r="F25" s="7">
        <f>SUMIF('1 lentelė'!H58:'1 lentelė'!H12,"psdf",'1 lentelė'!V12:'1 lentelė'!V58)</f>
        <v>688.5</v>
      </c>
      <c r="I25" s="13"/>
    </row>
    <row r="26" spans="1:9" ht="18" customHeight="1" thickBot="1">
      <c r="A26" s="21" t="s">
        <v>94</v>
      </c>
      <c r="B26" s="14">
        <f>SUM('1 lentelė'!I80:L80)</f>
        <v>0</v>
      </c>
      <c r="C26" s="14">
        <f>'1 lentelė'!M80</f>
        <v>1918.7</v>
      </c>
      <c r="D26" s="334">
        <f>'1 lentelė'!Q80</f>
        <v>1881.8</v>
      </c>
      <c r="E26" s="14">
        <f>SUMIF('1 lentelė'!H58:'1 lentelė'!H12,"KT",'1 lentelė'!U12:'1 lentelė'!U58)</f>
        <v>215</v>
      </c>
      <c r="F26" s="14">
        <f>SUMIF('1 lentelė'!H58:'1 lentelė'!H12,"kt",'1 lentelė'!V12:'1 lentelė'!V58)</f>
        <v>1655</v>
      </c>
    </row>
    <row r="27" spans="1:9" ht="15" customHeight="1">
      <c r="A27" s="411"/>
      <c r="B27" s="412"/>
      <c r="C27" s="412"/>
      <c r="D27" s="412"/>
      <c r="E27" s="412"/>
      <c r="F27" s="412"/>
    </row>
    <row r="28" spans="1:9" ht="28.5" customHeight="1">
      <c r="A28" s="409"/>
      <c r="B28" s="410"/>
      <c r="C28" s="410"/>
      <c r="D28" s="410"/>
      <c r="E28" s="410"/>
      <c r="F28" s="410"/>
    </row>
    <row r="29" spans="1:9">
      <c r="A29" s="83"/>
      <c r="B29" s="83"/>
      <c r="C29" s="62"/>
      <c r="D29" s="62"/>
      <c r="E29" s="83"/>
      <c r="F29" s="62"/>
    </row>
    <row r="30" spans="1:9">
      <c r="A30" s="83"/>
      <c r="B30" s="83"/>
      <c r="C30" s="62"/>
      <c r="D30" s="62"/>
      <c r="E30" s="83"/>
      <c r="F30" s="62"/>
    </row>
    <row r="31" spans="1:9">
      <c r="A31" s="83"/>
      <c r="B31" s="62"/>
      <c r="C31" s="81"/>
      <c r="D31" s="62"/>
      <c r="E31" s="62"/>
      <c r="F31" s="62"/>
    </row>
    <row r="32" spans="1:9" ht="12.75" customHeight="1">
      <c r="A32" s="686"/>
      <c r="B32" s="687"/>
      <c r="C32" s="76"/>
      <c r="D32" s="62"/>
      <c r="E32" s="83"/>
      <c r="F32" s="62"/>
    </row>
    <row r="33" spans="1:7" ht="12.75" customHeight="1">
      <c r="A33" s="84"/>
      <c r="B33" s="85"/>
      <c r="C33" s="76"/>
      <c r="D33" s="62"/>
      <c r="E33" s="83"/>
      <c r="F33" s="62"/>
    </row>
    <row r="34" spans="1:7">
      <c r="A34" s="86"/>
      <c r="B34" s="86"/>
      <c r="C34" s="62"/>
      <c r="D34" s="62"/>
      <c r="E34" s="62"/>
      <c r="F34" s="62"/>
    </row>
    <row r="35" spans="1:7">
      <c r="A35" s="86"/>
      <c r="B35" s="86"/>
      <c r="C35" s="62"/>
      <c r="D35" s="62"/>
      <c r="E35" s="62"/>
      <c r="F35" s="62"/>
    </row>
    <row r="36" spans="1:7">
      <c r="A36" s="83"/>
      <c r="B36" s="62"/>
      <c r="C36" s="62"/>
      <c r="D36" s="62"/>
      <c r="E36" s="62"/>
      <c r="F36" s="62"/>
    </row>
    <row r="37" spans="1:7">
      <c r="A37" s="83"/>
      <c r="B37" s="62"/>
      <c r="C37" s="62"/>
      <c r="D37" s="62"/>
      <c r="E37" s="62"/>
      <c r="F37" s="62"/>
    </row>
    <row r="38" spans="1:7">
      <c r="A38" s="87"/>
      <c r="B38" s="62"/>
      <c r="C38" s="62"/>
      <c r="D38" s="62"/>
      <c r="E38" s="62"/>
      <c r="F38" s="62"/>
      <c r="G38" s="82"/>
    </row>
    <row r="39" spans="1:7">
      <c r="A39" s="83"/>
      <c r="B39" s="62"/>
      <c r="C39" s="62"/>
      <c r="D39" s="62"/>
      <c r="E39" s="83"/>
      <c r="F39" s="62"/>
    </row>
    <row r="40" spans="1:7">
      <c r="A40" s="62"/>
      <c r="B40" s="62"/>
      <c r="C40" s="62"/>
      <c r="D40" s="62"/>
      <c r="E40" s="62"/>
      <c r="F40" s="62"/>
    </row>
    <row r="41" spans="1:7">
      <c r="A41" s="62"/>
      <c r="B41" s="62"/>
      <c r="C41" s="62"/>
      <c r="D41" s="62"/>
      <c r="E41" s="62"/>
      <c r="F41" s="62"/>
    </row>
    <row r="42" spans="1:7">
      <c r="A42" s="62"/>
      <c r="B42" s="62"/>
      <c r="C42" s="62"/>
      <c r="D42" s="62"/>
      <c r="E42" s="62"/>
      <c r="F42" s="62"/>
    </row>
    <row r="43" spans="1:7">
      <c r="A43" s="62"/>
      <c r="B43" s="62"/>
      <c r="C43" s="62"/>
      <c r="D43" s="62"/>
      <c r="E43" s="62"/>
      <c r="F43" s="62"/>
    </row>
    <row r="44" spans="1:7">
      <c r="A44" s="62"/>
      <c r="B44" s="62"/>
      <c r="C44" s="62"/>
      <c r="D44" s="62"/>
      <c r="E44" s="62"/>
      <c r="F44" s="62"/>
    </row>
    <row r="45" spans="1:7">
      <c r="A45" s="62"/>
      <c r="B45" s="62"/>
      <c r="C45" s="62"/>
      <c r="D45" s="62"/>
      <c r="E45" s="62"/>
      <c r="F45" s="62"/>
    </row>
  </sheetData>
  <mergeCells count="8">
    <mergeCell ref="A32:B32"/>
    <mergeCell ref="A2:F2"/>
    <mergeCell ref="E4:E7"/>
    <mergeCell ref="F4:F7"/>
    <mergeCell ref="C4:C7"/>
    <mergeCell ref="A4:A7"/>
    <mergeCell ref="B4:B7"/>
    <mergeCell ref="D4:D7"/>
  </mergeCells>
  <phoneticPr fontId="8" type="noConversion"/>
  <printOptions horizontalCentered="1"/>
  <pageMargins left="0.78740157480314965" right="0" top="0.78740157480314965" bottom="0.19685039370078741" header="0" footer="0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zoomScaleNormal="100" zoomScaleSheetLayoutView="100" workbookViewId="0">
      <selection activeCell="B19" sqref="B19"/>
    </sheetView>
  </sheetViews>
  <sheetFormatPr defaultRowHeight="12.75"/>
  <cols>
    <col min="1" max="1" width="13.140625" style="424" customWidth="1"/>
    <col min="2" max="2" width="68.85546875" style="424" customWidth="1"/>
    <col min="3" max="3" width="13" style="436" customWidth="1"/>
    <col min="4" max="4" width="10.7109375" style="424" customWidth="1"/>
    <col min="5" max="5" width="10.28515625" style="424" customWidth="1"/>
    <col min="6" max="6" width="10.42578125" style="424" customWidth="1"/>
    <col min="7" max="7" width="10.85546875" style="424" customWidth="1"/>
    <col min="8" max="16384" width="9.140625" style="424"/>
  </cols>
  <sheetData>
    <row r="1" spans="1:11" ht="18.75" customHeight="1">
      <c r="A1" s="34"/>
      <c r="B1" s="34" t="s">
        <v>46</v>
      </c>
      <c r="C1" s="35"/>
      <c r="D1" s="35"/>
      <c r="E1" s="35"/>
      <c r="F1" s="36"/>
      <c r="G1" s="37" t="s">
        <v>47</v>
      </c>
    </row>
    <row r="2" spans="1:11" ht="27" customHeight="1">
      <c r="A2" s="38"/>
      <c r="B2" s="39" t="s">
        <v>66</v>
      </c>
      <c r="C2" s="40" t="s">
        <v>48</v>
      </c>
      <c r="D2" s="41" t="s">
        <v>40</v>
      </c>
      <c r="E2" s="42"/>
      <c r="F2" s="42"/>
      <c r="G2" s="42"/>
    </row>
    <row r="3" spans="1:11" ht="15" customHeight="1">
      <c r="A3" s="38"/>
      <c r="B3" s="43" t="s">
        <v>49</v>
      </c>
      <c r="C3" s="44"/>
      <c r="D3" s="45"/>
      <c r="E3" s="42"/>
      <c r="F3" s="42"/>
      <c r="G3" s="42"/>
    </row>
    <row r="4" spans="1:11" ht="25.5" customHeight="1">
      <c r="A4" s="38"/>
      <c r="B4" s="56" t="s">
        <v>170</v>
      </c>
      <c r="C4" s="40" t="s">
        <v>48</v>
      </c>
      <c r="D4" s="41" t="s">
        <v>44</v>
      </c>
      <c r="E4" s="42"/>
      <c r="F4" s="42"/>
      <c r="G4" s="42"/>
    </row>
    <row r="5" spans="1:11" ht="15.75" customHeight="1">
      <c r="A5" s="46"/>
      <c r="B5" s="43" t="s">
        <v>50</v>
      </c>
      <c r="C5" s="426"/>
      <c r="D5" s="427"/>
      <c r="E5" s="428"/>
      <c r="F5" s="429"/>
      <c r="G5" s="429"/>
    </row>
    <row r="6" spans="1:11" ht="8.25" customHeight="1">
      <c r="A6" s="47"/>
      <c r="B6" s="48"/>
      <c r="C6" s="78"/>
      <c r="D6" s="48"/>
      <c r="E6" s="47"/>
      <c r="F6" s="48"/>
      <c r="G6" s="48"/>
    </row>
    <row r="7" spans="1:11" ht="18.75" customHeight="1">
      <c r="A7" s="701" t="s">
        <v>67</v>
      </c>
      <c r="B7" s="703" t="s">
        <v>51</v>
      </c>
      <c r="C7" s="704" t="s">
        <v>52</v>
      </c>
      <c r="D7" s="706" t="s">
        <v>145</v>
      </c>
      <c r="E7" s="697" t="s">
        <v>53</v>
      </c>
      <c r="F7" s="699" t="s">
        <v>87</v>
      </c>
      <c r="G7" s="699" t="s">
        <v>143</v>
      </c>
    </row>
    <row r="8" spans="1:11" ht="42.75" customHeight="1">
      <c r="A8" s="702"/>
      <c r="B8" s="703"/>
      <c r="C8" s="705" t="s">
        <v>18</v>
      </c>
      <c r="D8" s="707"/>
      <c r="E8" s="698"/>
      <c r="F8" s="700"/>
      <c r="G8" s="700"/>
    </row>
    <row r="9" spans="1:11" ht="15.75">
      <c r="A9" s="69" t="s">
        <v>62</v>
      </c>
      <c r="B9" s="70" t="s">
        <v>54</v>
      </c>
      <c r="C9" s="58"/>
      <c r="D9" s="49"/>
      <c r="E9" s="58"/>
      <c r="F9" s="49"/>
      <c r="G9" s="71"/>
    </row>
    <row r="10" spans="1:11" ht="16.5" customHeight="1">
      <c r="A10" s="50"/>
      <c r="B10" s="291" t="s">
        <v>55</v>
      </c>
      <c r="C10" s="51"/>
      <c r="D10" s="51"/>
      <c r="E10" s="59"/>
      <c r="F10" s="51"/>
      <c r="G10" s="53"/>
    </row>
    <row r="11" spans="1:11" ht="16.5" customHeight="1">
      <c r="A11" s="50"/>
      <c r="B11" s="77" t="s">
        <v>157</v>
      </c>
      <c r="C11" s="51" t="s">
        <v>91</v>
      </c>
      <c r="D11" s="51" t="s">
        <v>153</v>
      </c>
      <c r="E11" s="59" t="s">
        <v>154</v>
      </c>
      <c r="F11" s="51" t="s">
        <v>154</v>
      </c>
      <c r="G11" s="53" t="s">
        <v>154</v>
      </c>
    </row>
    <row r="12" spans="1:11" ht="16.5" customHeight="1">
      <c r="A12" s="50"/>
      <c r="B12" s="77" t="s">
        <v>158</v>
      </c>
      <c r="C12" s="51" t="s">
        <v>92</v>
      </c>
      <c r="D12" s="51" t="s">
        <v>153</v>
      </c>
      <c r="E12" s="59" t="s">
        <v>154</v>
      </c>
      <c r="F12" s="51" t="s">
        <v>154</v>
      </c>
      <c r="G12" s="53" t="s">
        <v>154</v>
      </c>
    </row>
    <row r="13" spans="1:11" ht="13.5" customHeight="1">
      <c r="A13" s="52"/>
      <c r="B13" s="57" t="s">
        <v>159</v>
      </c>
      <c r="C13" s="51" t="s">
        <v>93</v>
      </c>
      <c r="D13" s="72">
        <v>9</v>
      </c>
      <c r="E13" s="292" t="s">
        <v>56</v>
      </c>
      <c r="F13" s="72" t="s">
        <v>56</v>
      </c>
      <c r="G13" s="293" t="s">
        <v>131</v>
      </c>
      <c r="H13" s="430"/>
      <c r="I13" s="430"/>
      <c r="J13" s="430"/>
      <c r="K13" s="430"/>
    </row>
    <row r="14" spans="1:11" ht="63.75" customHeight="1">
      <c r="A14" s="52"/>
      <c r="B14" s="57" t="s">
        <v>160</v>
      </c>
      <c r="C14" s="51" t="s">
        <v>155</v>
      </c>
      <c r="D14" s="311" t="s">
        <v>149</v>
      </c>
      <c r="E14" s="307" t="s">
        <v>147</v>
      </c>
      <c r="F14" s="306" t="s">
        <v>148</v>
      </c>
      <c r="G14" s="306" t="s">
        <v>146</v>
      </c>
      <c r="H14" s="74"/>
      <c r="I14" s="74"/>
      <c r="J14" s="431"/>
      <c r="K14" s="431"/>
    </row>
    <row r="15" spans="1:11" ht="25.5" customHeight="1">
      <c r="A15" s="52"/>
      <c r="B15" s="57" t="s">
        <v>161</v>
      </c>
      <c r="C15" s="51" t="s">
        <v>156</v>
      </c>
      <c r="D15" s="312">
        <v>6.65</v>
      </c>
      <c r="E15" s="294">
        <v>8.5</v>
      </c>
      <c r="F15" s="73">
        <v>8.5</v>
      </c>
      <c r="G15" s="73">
        <v>8.3000000000000007</v>
      </c>
      <c r="H15" s="75"/>
      <c r="I15" s="75"/>
      <c r="J15" s="431"/>
      <c r="K15" s="431"/>
    </row>
    <row r="16" spans="1:11">
      <c r="A16" s="50"/>
      <c r="B16" s="295" t="s">
        <v>57</v>
      </c>
      <c r="C16" s="51"/>
      <c r="D16" s="51"/>
      <c r="E16" s="79"/>
      <c r="F16" s="53"/>
      <c r="G16" s="53"/>
      <c r="H16" s="425"/>
      <c r="I16" s="314"/>
      <c r="J16" s="431"/>
      <c r="K16" s="431"/>
    </row>
    <row r="17" spans="1:11">
      <c r="A17" s="50"/>
      <c r="B17" s="291" t="s">
        <v>55</v>
      </c>
      <c r="C17" s="51"/>
      <c r="D17" s="51"/>
      <c r="E17" s="79"/>
      <c r="F17" s="53"/>
      <c r="G17" s="53"/>
      <c r="H17" s="431"/>
      <c r="I17" s="431"/>
      <c r="J17" s="431"/>
      <c r="K17" s="431"/>
    </row>
    <row r="18" spans="1:11">
      <c r="A18" s="50"/>
      <c r="B18" s="296" t="s">
        <v>58</v>
      </c>
      <c r="C18" s="51"/>
      <c r="D18" s="51"/>
      <c r="E18" s="79"/>
      <c r="F18" s="53"/>
      <c r="G18" s="53"/>
    </row>
    <row r="19" spans="1:11" ht="27.75" customHeight="1">
      <c r="A19" s="52"/>
      <c r="B19" s="57" t="s">
        <v>151</v>
      </c>
      <c r="C19" s="51" t="s">
        <v>59</v>
      </c>
      <c r="D19" s="51">
        <v>6735</v>
      </c>
      <c r="E19" s="79">
        <v>6115</v>
      </c>
      <c r="F19" s="53">
        <v>8220</v>
      </c>
      <c r="G19" s="53">
        <v>8220</v>
      </c>
    </row>
    <row r="20" spans="1:11" ht="18" customHeight="1">
      <c r="A20" s="55"/>
      <c r="B20" s="57" t="s">
        <v>88</v>
      </c>
      <c r="C20" s="51" t="s">
        <v>60</v>
      </c>
      <c r="D20" s="51">
        <v>16</v>
      </c>
      <c r="E20" s="79">
        <f>16+4</f>
        <v>20</v>
      </c>
      <c r="F20" s="53">
        <v>16</v>
      </c>
      <c r="G20" s="53">
        <v>16</v>
      </c>
    </row>
    <row r="21" spans="1:11" ht="18" customHeight="1">
      <c r="A21" s="55"/>
      <c r="B21" s="57" t="s">
        <v>150</v>
      </c>
      <c r="C21" s="51" t="s">
        <v>89</v>
      </c>
      <c r="D21" s="51">
        <v>32</v>
      </c>
      <c r="E21" s="79">
        <f>34-3</f>
        <v>31</v>
      </c>
      <c r="F21" s="53">
        <v>34</v>
      </c>
      <c r="G21" s="53">
        <v>34</v>
      </c>
    </row>
    <row r="22" spans="1:11">
      <c r="A22" s="50"/>
      <c r="B22" s="61" t="s">
        <v>61</v>
      </c>
      <c r="C22" s="51"/>
      <c r="D22" s="51"/>
      <c r="E22" s="79"/>
      <c r="F22" s="53"/>
      <c r="G22" s="53"/>
    </row>
    <row r="23" spans="1:11" ht="15.75" customHeight="1">
      <c r="A23" s="55"/>
      <c r="B23" s="77" t="s">
        <v>132</v>
      </c>
      <c r="C23" s="80" t="s">
        <v>136</v>
      </c>
      <c r="D23" s="313">
        <v>63</v>
      </c>
      <c r="E23" s="297">
        <v>80</v>
      </c>
      <c r="F23" s="53">
        <v>80</v>
      </c>
      <c r="G23" s="53">
        <v>80</v>
      </c>
    </row>
    <row r="24" spans="1:11" ht="15.75" customHeight="1">
      <c r="A24" s="55"/>
      <c r="B24" s="77" t="s">
        <v>133</v>
      </c>
      <c r="C24" s="80" t="s">
        <v>137</v>
      </c>
      <c r="D24" s="313">
        <v>22821</v>
      </c>
      <c r="E24" s="297">
        <v>29200</v>
      </c>
      <c r="F24" s="53">
        <v>29200</v>
      </c>
      <c r="G24" s="53">
        <v>29200</v>
      </c>
    </row>
    <row r="25" spans="1:11" ht="15.75" customHeight="1">
      <c r="A25" s="55"/>
      <c r="B25" s="77" t="s">
        <v>134</v>
      </c>
      <c r="C25" s="80" t="s">
        <v>138</v>
      </c>
      <c r="D25" s="313">
        <v>15849</v>
      </c>
      <c r="E25" s="319">
        <v>16000</v>
      </c>
      <c r="F25" s="320">
        <v>16000</v>
      </c>
      <c r="G25" s="320">
        <v>16000</v>
      </c>
    </row>
    <row r="26" spans="1:11">
      <c r="A26" s="432"/>
      <c r="B26" s="77" t="s">
        <v>135</v>
      </c>
      <c r="C26" s="80" t="s">
        <v>139</v>
      </c>
      <c r="D26" s="315">
        <v>1227</v>
      </c>
      <c r="E26" s="60">
        <v>1880</v>
      </c>
      <c r="F26" s="54">
        <v>1880</v>
      </c>
      <c r="G26" s="54">
        <v>1880</v>
      </c>
    </row>
    <row r="27" spans="1:11">
      <c r="A27" s="50"/>
      <c r="B27" s="61" t="s">
        <v>90</v>
      </c>
      <c r="C27" s="51"/>
      <c r="D27" s="51"/>
      <c r="E27" s="79"/>
      <c r="F27" s="53"/>
      <c r="G27" s="53"/>
    </row>
    <row r="28" spans="1:11" ht="15.75" customHeight="1">
      <c r="A28" s="308"/>
      <c r="B28" s="433" t="s">
        <v>162</v>
      </c>
      <c r="C28" s="309" t="s">
        <v>140</v>
      </c>
      <c r="D28" s="310">
        <v>1</v>
      </c>
      <c r="E28" s="434"/>
      <c r="F28" s="435">
        <f>2-1</f>
        <v>1</v>
      </c>
      <c r="G28" s="310">
        <v>1</v>
      </c>
      <c r="H28" s="75"/>
      <c r="I28" s="75"/>
      <c r="J28" s="431"/>
      <c r="K28" s="431"/>
    </row>
  </sheetData>
  <mergeCells count="7">
    <mergeCell ref="E7:E8"/>
    <mergeCell ref="F7:F8"/>
    <mergeCell ref="G7:G8"/>
    <mergeCell ref="A7:A8"/>
    <mergeCell ref="B7:B8"/>
    <mergeCell ref="C7:C8"/>
    <mergeCell ref="D7:D8"/>
  </mergeCells>
  <phoneticPr fontId="8" type="noConversion"/>
  <pageMargins left="0.39370078740157483" right="0.74803149606299213" top="0.59055118110236227" bottom="0.19685039370078741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lentelė</vt:lpstr>
      <vt:lpstr>bendras lėšų poreikis </vt:lpstr>
      <vt:lpstr>vertinimo kriterijai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Snieguole Kacerauskaite</cp:lastModifiedBy>
  <cp:lastPrinted>2012-11-30T12:16:39Z</cp:lastPrinted>
  <dcterms:created xsi:type="dcterms:W3CDTF">2007-07-27T10:32:34Z</dcterms:created>
  <dcterms:modified xsi:type="dcterms:W3CDTF">2012-11-30T12:16:44Z</dcterms:modified>
</cp:coreProperties>
</file>