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gluosnis\Kmsa\Savivaldybės administracija\BENDROSIOS VALDYMO FUNKCIJOS\Strateginio planavimo skyrius\SVP PLANAI\2025-2027 SVP\Komitetams 2024-12-19\"/>
    </mc:Choice>
  </mc:AlternateContent>
  <xr:revisionPtr revIDLastSave="0" documentId="13_ncr:1_{82173CB5-1652-4385-B4B4-5383268C8262}" xr6:coauthVersionLast="47" xr6:coauthVersionMax="47" xr10:uidLastSave="{00000000-0000-0000-0000-000000000000}"/>
  <bookViews>
    <workbookView xWindow="-120" yWindow="-120" windowWidth="38640" windowHeight="21120" xr2:uid="{FEA9E383-1DE5-4AFE-98A8-7A94D3659092}"/>
  </bookViews>
  <sheets>
    <sheet name="007 programa 3 lentelė" sheetId="1" r:id="rId1"/>
    <sheet name="Lėšų suvestinė 2 lentelė" sheetId="3" r:id="rId2"/>
  </sheets>
  <definedNames>
    <definedName name="_xlnm.Print_Area" localSheetId="0">'007 programa 3 lentelė'!$A$1:$I$247</definedName>
    <definedName name="_xlnm.Print_Titles" localSheetId="0">'007 programa 3 lentelė'!$4:$4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4" i="1" l="1"/>
  <c r="G54" i="1"/>
  <c r="H54" i="1"/>
  <c r="G107" i="1"/>
  <c r="F107" i="1"/>
  <c r="H107" i="1"/>
  <c r="E107" i="1"/>
  <c r="F13" i="3"/>
  <c r="G98" i="1"/>
  <c r="G106" i="1" s="1"/>
  <c r="G104" i="1" s="1"/>
  <c r="G9" i="1"/>
  <c r="G91" i="1"/>
  <c r="F91" i="1"/>
  <c r="G28" i="1"/>
  <c r="G13" i="1"/>
  <c r="H9" i="1"/>
  <c r="H34" i="1"/>
  <c r="G34" i="1"/>
  <c r="E8" i="3" s="1"/>
  <c r="H44" i="1"/>
  <c r="F44" i="1"/>
  <c r="G44" i="1"/>
  <c r="E139" i="1"/>
  <c r="G113" i="1"/>
  <c r="F113" i="1"/>
  <c r="G81" i="1"/>
  <c r="F61" i="1"/>
  <c r="F90" i="1" s="1"/>
  <c r="G166" i="1"/>
  <c r="H63" i="1"/>
  <c r="G63" i="1"/>
  <c r="F63" i="1"/>
  <c r="G16" i="1"/>
  <c r="G94" i="1" s="1"/>
  <c r="F16" i="1"/>
  <c r="F13" i="1"/>
  <c r="F85" i="1"/>
  <c r="F9" i="1"/>
  <c r="F115" i="1"/>
  <c r="E61" i="1"/>
  <c r="E60" i="1"/>
  <c r="H40" i="1"/>
  <c r="G40" i="1"/>
  <c r="F40" i="1"/>
  <c r="F231" i="1"/>
  <c r="G231" i="1"/>
  <c r="H231" i="1"/>
  <c r="E231" i="1"/>
  <c r="E20" i="3"/>
  <c r="E21" i="3"/>
  <c r="F154" i="1"/>
  <c r="F125" i="1"/>
  <c r="F123" i="1" s="1"/>
  <c r="G125" i="1"/>
  <c r="G123" i="1" s="1"/>
  <c r="H125" i="1"/>
  <c r="H123" i="1" s="1"/>
  <c r="E125" i="1"/>
  <c r="E123" i="1" s="1"/>
  <c r="E235" i="1"/>
  <c r="F95" i="1"/>
  <c r="G95" i="1"/>
  <c r="H95" i="1"/>
  <c r="E95" i="1"/>
  <c r="H228" i="1"/>
  <c r="F94" i="1"/>
  <c r="G228" i="1"/>
  <c r="F228" i="1"/>
  <c r="E228" i="1"/>
  <c r="H227" i="1"/>
  <c r="G227" i="1"/>
  <c r="F227" i="1"/>
  <c r="H199" i="1"/>
  <c r="G199" i="1"/>
  <c r="F199" i="1"/>
  <c r="H196" i="1"/>
  <c r="G196" i="1"/>
  <c r="F196" i="1"/>
  <c r="H195" i="1"/>
  <c r="G195" i="1"/>
  <c r="F194" i="1"/>
  <c r="H193" i="1"/>
  <c r="G193" i="1"/>
  <c r="F193" i="1"/>
  <c r="H154" i="1"/>
  <c r="G154" i="1"/>
  <c r="H151" i="1"/>
  <c r="G151" i="1"/>
  <c r="F151" i="1"/>
  <c r="H150" i="1"/>
  <c r="G150" i="1"/>
  <c r="F150" i="1"/>
  <c r="E150" i="1"/>
  <c r="H149" i="1"/>
  <c r="G149" i="1"/>
  <c r="F149" i="1"/>
  <c r="H106" i="1"/>
  <c r="H104" i="1" s="1"/>
  <c r="F106" i="1"/>
  <c r="F104" i="1" s="1"/>
  <c r="H94" i="1"/>
  <c r="H92" i="1" s="1"/>
  <c r="E94" i="1"/>
  <c r="G90" i="1"/>
  <c r="H56" i="1"/>
  <c r="G56" i="1"/>
  <c r="G88" i="1" s="1"/>
  <c r="F56" i="1"/>
  <c r="H91" i="1"/>
  <c r="H90" i="1"/>
  <c r="F89" i="1"/>
  <c r="G89" i="1"/>
  <c r="H89" i="1"/>
  <c r="H88" i="1"/>
  <c r="F225" i="1"/>
  <c r="F73" i="1"/>
  <c r="G122" i="1"/>
  <c r="H122" i="1"/>
  <c r="F129" i="1"/>
  <c r="F148" i="1" s="1"/>
  <c r="G129" i="1"/>
  <c r="F68" i="1"/>
  <c r="G16" i="3"/>
  <c r="F16" i="3"/>
  <c r="E19" i="3"/>
  <c r="E16" i="3"/>
  <c r="E11" i="3"/>
  <c r="E92" i="1"/>
  <c r="E238" i="1"/>
  <c r="F238" i="1"/>
  <c r="G238" i="1"/>
  <c r="E219" i="1"/>
  <c r="E79" i="1"/>
  <c r="E46" i="1"/>
  <c r="E195" i="1"/>
  <c r="E213" i="1"/>
  <c r="E209" i="1"/>
  <c r="E190" i="1"/>
  <c r="E189" i="1"/>
  <c r="E187" i="1"/>
  <c r="E186" i="1"/>
  <c r="E184" i="1"/>
  <c r="E169" i="1"/>
  <c r="E145" i="1"/>
  <c r="E134" i="1"/>
  <c r="E75" i="1"/>
  <c r="E44" i="1"/>
  <c r="E32" i="1"/>
  <c r="E23" i="1"/>
  <c r="E91" i="1" s="1"/>
  <c r="E21" i="1"/>
  <c r="E20" i="1"/>
  <c r="E10" i="1"/>
  <c r="E203" i="1"/>
  <c r="E162" i="1"/>
  <c r="E130" i="1"/>
  <c r="E149" i="1" s="1"/>
  <c r="E129" i="1"/>
  <c r="E113" i="1"/>
  <c r="E122" i="1" s="1"/>
  <c r="E98" i="1"/>
  <c r="E77" i="1"/>
  <c r="E71" i="1"/>
  <c r="E68" i="1"/>
  <c r="E65" i="1"/>
  <c r="E63" i="1"/>
  <c r="E54" i="1"/>
  <c r="E48" i="1"/>
  <c r="E233" i="1"/>
  <c r="H194" i="1"/>
  <c r="G194" i="1"/>
  <c r="H148" i="1"/>
  <c r="G148" i="1"/>
  <c r="F146" i="1"/>
  <c r="E40" i="1"/>
  <c r="E38" i="1"/>
  <c r="F156" i="1"/>
  <c r="F111" i="1"/>
  <c r="F122" i="1" s="1"/>
  <c r="F21" i="3"/>
  <c r="G21" i="3"/>
  <c r="F20" i="3"/>
  <c r="G20" i="3"/>
  <c r="E18" i="3" a="1"/>
  <c r="E18" i="3" s="1"/>
  <c r="F18" i="3" a="1"/>
  <c r="F18" i="3" s="1"/>
  <c r="G18" i="3" a="1"/>
  <c r="G18" i="3" s="1"/>
  <c r="E17" i="3" a="1"/>
  <c r="E17" i="3" s="1"/>
  <c r="F17" i="3" a="1"/>
  <c r="F17" i="3" s="1"/>
  <c r="G17" i="3" a="1"/>
  <c r="G17" i="3" s="1"/>
  <c r="G13" i="3"/>
  <c r="E9" i="3"/>
  <c r="E12" i="3"/>
  <c r="F12" i="3"/>
  <c r="G12" i="3"/>
  <c r="F11" i="3"/>
  <c r="G11" i="3"/>
  <c r="E10" i="3"/>
  <c r="F10" i="3"/>
  <c r="G10" i="3"/>
  <c r="F9" i="3"/>
  <c r="G9" i="3"/>
  <c r="F8" i="3"/>
  <c r="G8" i="3"/>
  <c r="G92" i="1" l="1"/>
  <c r="E13" i="3"/>
  <c r="E6" i="3" s="1"/>
  <c r="E22" i="3" s="1"/>
  <c r="E227" i="1"/>
  <c r="E194" i="1"/>
  <c r="E199" i="1"/>
  <c r="F92" i="1"/>
  <c r="F88" i="1"/>
  <c r="F86" i="1" s="1"/>
  <c r="E14" i="3"/>
  <c r="G6" i="3"/>
  <c r="F6" i="3"/>
  <c r="E23" i="3"/>
  <c r="F23" i="3"/>
  <c r="H238" i="1"/>
  <c r="G23" i="3" s="1"/>
  <c r="F233" i="1"/>
  <c r="G233" i="1"/>
  <c r="H233" i="1"/>
  <c r="G197" i="1"/>
  <c r="H197" i="1"/>
  <c r="F195" i="1"/>
  <c r="G156" i="1"/>
  <c r="H156" i="1"/>
  <c r="F152" i="1"/>
  <c r="G152" i="1"/>
  <c r="H152" i="1"/>
  <c r="F120" i="1"/>
  <c r="G120" i="1"/>
  <c r="H120" i="1"/>
  <c r="G86" i="1"/>
  <c r="H86" i="1"/>
  <c r="E56" i="1"/>
  <c r="D19" i="3"/>
  <c r="E197" i="1" l="1"/>
  <c r="F19" i="3"/>
  <c r="F14" i="3" s="1"/>
  <c r="F22" i="3" s="1"/>
  <c r="F24" i="3" s="1"/>
  <c r="F197" i="1"/>
  <c r="G19" i="3"/>
  <c r="G14" i="3" s="1"/>
  <c r="G22" i="3" s="1"/>
  <c r="H225" i="1"/>
  <c r="G225" i="1"/>
  <c r="G191" i="1"/>
  <c r="H191" i="1"/>
  <c r="F191" i="1"/>
  <c r="F237" i="1" s="1"/>
  <c r="E26" i="3" s="1"/>
  <c r="H146" i="1"/>
  <c r="G146" i="1"/>
  <c r="E172" i="1"/>
  <c r="E196" i="1" s="1"/>
  <c r="E171" i="1"/>
  <c r="E166" i="1"/>
  <c r="E193" i="1" s="1"/>
  <c r="E132" i="1"/>
  <c r="E151" i="1" s="1"/>
  <c r="E103" i="1"/>
  <c r="E101" i="1"/>
  <c r="D21" i="3"/>
  <c r="D18" i="3" a="1"/>
  <c r="D18" i="3" s="1"/>
  <c r="D17" i="3" a="1"/>
  <c r="D17" i="3" s="1"/>
  <c r="D16" i="3" a="1"/>
  <c r="D16" i="3" s="1"/>
  <c r="D12" i="3"/>
  <c r="D11" i="3"/>
  <c r="D9" i="3"/>
  <c r="E18" i="1"/>
  <c r="G24" i="3" l="1"/>
  <c r="E106" i="1"/>
  <c r="E104" i="1" s="1"/>
  <c r="H237" i="1"/>
  <c r="G237" i="1"/>
  <c r="F26" i="3" s="1"/>
  <c r="G26" i="3"/>
  <c r="D23" i="3"/>
  <c r="E225" i="1"/>
  <c r="E191" i="1"/>
  <c r="E90" i="1"/>
  <c r="E135" i="1"/>
  <c r="E154" i="1" s="1"/>
  <c r="E57" i="1"/>
  <c r="E89" i="1" s="1"/>
  <c r="E42" i="1"/>
  <c r="E88" i="1" s="1"/>
  <c r="E156" i="1"/>
  <c r="H239" i="1" l="1"/>
  <c r="G239" i="1"/>
  <c r="D20" i="3"/>
  <c r="D14" i="3" s="1"/>
  <c r="E148" i="1"/>
  <c r="E146" i="1" s="1"/>
  <c r="E86" i="1"/>
  <c r="D8" i="3"/>
  <c r="D10" i="3"/>
  <c r="D13" i="3"/>
  <c r="E152" i="1"/>
  <c r="E120" i="1"/>
  <c r="E237" i="1" l="1"/>
  <c r="F239" i="1"/>
  <c r="D6" i="3"/>
  <c r="D22" i="3" s="1"/>
  <c r="D26" i="3" l="1"/>
  <c r="E24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Snieguolė Kačerauskaitė</author>
    <author>Rima Ališauskė</author>
    <author>Inga Mikalauskienė</author>
    <author>Saulina Paulauskienė</author>
  </authors>
  <commentList>
    <comment ref="F9" authorId="0" shapeId="0" xr:uid="{7099B26B-F011-4E66-A8FD-B9BB469D0ECF}">
      <text>
        <r>
          <rPr>
            <sz val="11"/>
            <color theme="1"/>
            <rFont val="Calibri"/>
            <family val="2"/>
            <charset val="186"/>
            <scheme val="minor"/>
          </rPr>
          <t>11-08 keitimas</t>
        </r>
      </text>
    </comment>
    <comment ref="H9" authorId="1" shapeId="0" xr:uid="{00CEE611-4903-46D2-9B91-75AA7F0B5C75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Rima Ališauskė:
pataisyta suma </t>
        </r>
      </text>
    </comment>
    <comment ref="E13" authorId="1" shapeId="0" xr:uid="{1848E230-22A5-448E-9870-80895ACDD0F1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Rima Ališauskė:
suma tikslinama dėl priskaičiuotų delspinigių už laiku neparengtą projektą.
</t>
        </r>
      </text>
    </comment>
    <comment ref="G34" authorId="0" shapeId="0" xr:uid="{7321E307-30E7-42F7-8CC7-6633ECE01A93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Projekto parengimas ir projekto vykdymo priežiūra -40 tūkst.
Projekto ekspertizė - 3 tūkst.
</t>
        </r>
      </text>
    </comment>
    <comment ref="H34" authorId="0" shapeId="0" xr:uid="{5F8EC569-B4A3-4447-B346-B702472EAB65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Rangos darbai - 500 tūkst.,
Rangų darbų techninė priežiūra - 4 tūkst.
</t>
        </r>
      </text>
    </comment>
    <comment ref="E48" authorId="2" shapeId="0" xr:uid="{C2572C6D-FBA2-4BF2-8FEC-914EB11D4CC4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Trispalvės takas Tauralaukyje.
</t>
        </r>
      </text>
    </comment>
    <comment ref="F48" authorId="0" shapeId="0" xr:uid="{4F2C419D-40FC-434B-81FC-E5240888FB63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1. Judėjimo laisvė Pajūryje: visiems prieinama pakrantė.
2. "Saulėlydžio ir laivų palydos" - suoliukai prie Klaipėdos molo.
3. Supynių alėja.
</t>
        </r>
      </text>
    </comment>
    <comment ref="E49" authorId="2" shapeId="0" xr:uid="{E854DB60-7E50-4E02-ADC9-FFBFA47E4023}">
      <text>
        <r>
          <rPr>
            <sz val="9"/>
            <color indexed="81"/>
            <rFont val="Tahoma"/>
            <family val="2"/>
            <charset val="186"/>
          </rPr>
          <t>1. Žaidimų ir lauko muzikos instrumentų aikštelė Draugystės parke.
2. Sniegalaukis.</t>
        </r>
        <r>
          <rPr>
            <b/>
            <sz val="9"/>
            <color indexed="81"/>
            <rFont val="Tahoma"/>
            <family val="2"/>
            <charset val="186"/>
          </rPr>
          <t xml:space="preserve">
</t>
        </r>
      </text>
    </comment>
    <comment ref="F49" authorId="0" shapeId="0" xr:uid="{87E0CD3C-2A35-49ED-9AED-B8D7B594CC85}">
      <text>
        <r>
          <rPr>
            <sz val="11"/>
            <color theme="1"/>
            <rFont val="Calibri"/>
            <family val="2"/>
            <charset val="186"/>
            <scheme val="minor"/>
          </rPr>
          <t>Žardininkų parko vaikų žaidimo aikštelė</t>
        </r>
      </text>
    </comment>
    <comment ref="F50" authorId="3" shapeId="0" xr:uid="{703C90F7-18D0-4E0B-A3A2-FBF4129E84D8}">
      <text>
        <r>
          <rPr>
            <sz val="11"/>
            <color theme="1"/>
            <rFont val="Calibri"/>
            <family val="2"/>
            <charset val="186"/>
            <scheme val="minor"/>
          </rPr>
          <t>1. Žaidimų ir lauko muzikos instrumentų aikštelė Draugystės parke.
2. Sniegalaukis</t>
        </r>
      </text>
    </comment>
    <comment ref="E58" authorId="3" shapeId="0" xr:uid="{18C53002-650D-4C59-B5C2-E4C6B68F5C54}">
      <text>
        <r>
          <rPr>
            <sz val="11"/>
            <color theme="1"/>
            <rFont val="Calibri"/>
            <family val="2"/>
            <charset val="186"/>
            <scheme val="minor"/>
          </rPr>
          <t>Elektros įvadas ūkiniam pastatui Smiltynės g 15 B. Elektros įvedimas užtruko, nes ESO kelis kartus atmetė pateiktą paraišką, kadangi nerado projekto rengėjo. Projektas bus parengtas 2023 m. pagal atskirą pirkimą, tačiau ESO dalies darbai persikels į 2024 metus.</t>
        </r>
      </text>
    </comment>
    <comment ref="C62" authorId="0" shapeId="0" xr:uid="{0E75C0E3-75B0-445F-B068-F08207F5C858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Vykdytojas BĮ "Klaipėdos paplūdimiai"
</t>
        </r>
      </text>
    </comment>
    <comment ref="F116" authorId="3" shapeId="0" xr:uid="{754974FF-CCF9-4E88-9F6A-8BB6420704E2}">
      <text>
        <r>
          <rPr>
            <sz val="11"/>
            <color theme="1"/>
            <rFont val="Calibri"/>
            <family val="2"/>
            <charset val="186"/>
            <scheme val="minor"/>
          </rPr>
          <t>Klaipėdos Smeltės skirtos lėšos</t>
        </r>
      </text>
    </comment>
    <comment ref="G166" authorId="1" shapeId="0" xr:uid="{0AC9BAAF-5ED1-4776-8FA0-4A26A398A871}">
      <text>
        <r>
          <rPr>
            <sz val="11"/>
            <color theme="1"/>
            <rFont val="Calibri"/>
            <family val="2"/>
            <charset val="186"/>
            <scheme val="minor"/>
          </rPr>
          <t>Rima Ališauskė:
Didėja projekto vertė. Didiname 2026 m. prašomų asignavimų sumą +168,5 tūkst. eur. Pagal gautus pasiūlymus projektavimo darbų kaina siektų 293,5 tūkst. eur (preliminarus nugalėtojas UAB "SRP Projektas").</t>
        </r>
      </text>
    </comment>
    <comment ref="D177" authorId="3" shapeId="0" xr:uid="{5DAFE4CA-F98A-4E9A-AA14-DA17BB5F7DC0}">
      <text>
        <r>
          <rPr>
            <sz val="11"/>
            <color theme="1"/>
            <rFont val="Calibri"/>
            <family val="2"/>
            <charset val="186"/>
            <scheme val="minor"/>
          </rPr>
          <t>Vykdytojas AB „Klaipėdos vanduo“</t>
        </r>
      </text>
    </comment>
    <comment ref="D179" authorId="3" shapeId="0" xr:uid="{93029088-1EAD-463E-AC60-EB389AC2D7A5}">
      <text>
        <r>
          <rPr>
            <sz val="11"/>
            <color theme="1"/>
            <rFont val="Calibri"/>
            <family val="2"/>
            <charset val="186"/>
            <scheme val="minor"/>
          </rPr>
          <t>Vykdytojas AB „Klaipėdos energija“</t>
        </r>
      </text>
    </comment>
    <comment ref="C181" authorId="0" shapeId="0" xr:uid="{A05D5839-4BE1-42AF-8088-F150E2096DD4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AB Klaipėdos vanduo priėmė sprendimą neįgyvendinti parengto projekto, nes gautas komercinis pasiūlymas (15 mln. Eur) ženkliai viršija planuotą sumą (4,5 mln. Eur) 
</t>
        </r>
      </text>
    </comment>
    <comment ref="E219" authorId="0" shapeId="0" xr:uid="{8CDB975E-93F9-4E93-B3AE-993A5C1843DD}">
      <text>
        <r>
          <rPr>
            <sz val="11"/>
            <color theme="1"/>
            <rFont val="Calibri"/>
            <family val="2"/>
            <charset val="186"/>
            <scheme val="minor"/>
          </rPr>
          <t>Snieguolė Kačerauskaitė:
11,6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<sst xmlns="http://schemas.openxmlformats.org/spreadsheetml/2006/main" count="461" uniqueCount="257">
  <si>
    <t>Aiškinamojo rašto priedas</t>
  </si>
  <si>
    <t>3 lentelė. Klaipėdos miesto savivaldybės 2024–2027 metų 007 Miesto infrastruktūros objektų priežiūros ir modernizavimo programos uždaviniai, priemonės, asignavimai ir kitos lėšos (tūkst. eurų)</t>
  </si>
  <si>
    <t>Programos uždavinio, priemonės kodas ir požymis</t>
  </si>
  <si>
    <t>Uždavinio, priemonės pavadinimas, finansavimo šaltiniai</t>
  </si>
  <si>
    <t>Vykdytojas (skyrius / asmuo)</t>
  </si>
  <si>
    <t>2024 metų asignavimai ir kitos lėšos</t>
  </si>
  <si>
    <t>2025 metų asignavimai ir kitos lėšos</t>
  </si>
  <si>
    <t>2026 metų asignavimai ir kitos lėšos</t>
  </si>
  <si>
    <t>2027 metų asignavimai ir kitos lėšos</t>
  </si>
  <si>
    <t>Savivaldybės strateginio plėtros plano priemonės kodas</t>
  </si>
  <si>
    <t>007-01 (T)</t>
  </si>
  <si>
    <t>Uždavinys: Siekti, kad miesto viešosios erdvės būtų tvarkingos, jaukios ir saugios</t>
  </si>
  <si>
    <t>007-01-01 (TP)</t>
  </si>
  <si>
    <t>Priemonė: Miesto aikščių, skverų ir kitų bendro naudojimo teritorijų atnaujinimas ir priežiūra</t>
  </si>
  <si>
    <t>007-01-01-01</t>
  </si>
  <si>
    <t xml:space="preserve">Atgimimo aikštės sutvarkymas, didinant patrauklumą investicijoms, skatinant lankytojų srautus </t>
  </si>
  <si>
    <t xml:space="preserve">MVPD Statybos skyrius
</t>
  </si>
  <si>
    <t>3.1.1.4.</t>
  </si>
  <si>
    <t xml:space="preserve">Savivaldybės biudžeto lėšos (nuosavos, be ankstesnių metų likučio) </t>
  </si>
  <si>
    <t xml:space="preserve">Ankstesnių metų likučiai
</t>
  </si>
  <si>
    <t xml:space="preserve">Skolintos lėšos 
</t>
  </si>
  <si>
    <t>007-01-01-02 (RP)</t>
  </si>
  <si>
    <t>Turgaus aikštės su prieigomis atgaivinimas</t>
  </si>
  <si>
    <t xml:space="preserve">Projektų skyrius
</t>
  </si>
  <si>
    <t>3.2.2.3.</t>
  </si>
  <si>
    <t>`</t>
  </si>
  <si>
    <t>Kiti šaltiniai (Europos Sąjungos paramos lėšos)</t>
  </si>
  <si>
    <t xml:space="preserve">Muzikinio teatro pastato Danės g. 19 aplinkos tvarkybos darbai už sklypo ribos </t>
  </si>
  <si>
    <t>UAD Urbanistikos skyrius</t>
  </si>
  <si>
    <t>3.2.2.5.</t>
  </si>
  <si>
    <t>Vingio mikrorajono aikštės atnaujinimas</t>
  </si>
  <si>
    <t>MVPD Aplinkosaugos ir miesto tvarkymo skyrius</t>
  </si>
  <si>
    <t xml:space="preserve">Skvero ties prekybos centru „Maxima“  (Šilutės pl. 40A) ir pėsčiųjų ir dviračių tako nuo Šilutės pl. iki Taikos pr. atnaujinimas </t>
  </si>
  <si>
    <t> </t>
  </si>
  <si>
    <t xml:space="preserve">AB „Klaipėdos energija“ teritorijos Danės g. 8, Klaipėdoje, konversija   </t>
  </si>
  <si>
    <t>3.2.1.2.</t>
  </si>
  <si>
    <t>007-01-01-03 (RP)</t>
  </si>
  <si>
    <t xml:space="preserve">Danės teritorijos prieigų atgaivinimas Šiauriniame rage </t>
  </si>
  <si>
    <t>Projektų skyrius</t>
  </si>
  <si>
    <t>3.2.1.1.</t>
  </si>
  <si>
    <t>007-01-01-04</t>
  </si>
  <si>
    <t>Teritorijos prie Santuokų rūmų atnaujinimas</t>
  </si>
  <si>
    <t>3.2.2.5</t>
  </si>
  <si>
    <t>007-01-01-05</t>
  </si>
  <si>
    <t>Neringos skvero atnaujinimas</t>
  </si>
  <si>
    <t xml:space="preserve">Gėlynų atnaujinimas ir įrengimas </t>
  </si>
  <si>
    <t>007-01-01-06</t>
  </si>
  <si>
    <t>Fontanų priežiūra, remontas ir atnaujinimas</t>
  </si>
  <si>
    <t>007-01-01-07</t>
  </si>
  <si>
    <t>Miesto viešųjų teritorijų inventoriaus priežiūra, įrengimas ir įsigijimas</t>
  </si>
  <si>
    <t>007-01-01-08</t>
  </si>
  <si>
    <t>Šventinis miesto papuošimas (kalėdinio laikotarpio)</t>
  </si>
  <si>
    <t>007-01-01-09</t>
  </si>
  <si>
    <t>Retransliuojamo vaizdo stebėjimo kamerų viešosiose vietose įsigijimas ir eksploatacija</t>
  </si>
  <si>
    <t>AD Administracinės veiklos, kontrolės ir prevencijos  skyrius</t>
  </si>
  <si>
    <t>2.4.3.5.</t>
  </si>
  <si>
    <t xml:space="preserve">Laivų nuleidimo prieplaukos ir saugojimo aikštelės sklype šalia Liepų g. tilto įrengimas </t>
  </si>
  <si>
    <t>1.2.3.1</t>
  </si>
  <si>
    <t>007-01-01-10</t>
  </si>
  <si>
    <t xml:space="preserve">Dalyvaujamojo biudžeto iniciatyvų įgyvendinimas </t>
  </si>
  <si>
    <t>2.6.4.3.</t>
  </si>
  <si>
    <t xml:space="preserve">MVPD  Aplinkosaugos ir miesto tvarkymo skyrius </t>
  </si>
  <si>
    <t xml:space="preserve">MVPD Statinių administravimo skyrius </t>
  </si>
  <si>
    <t>UAD Urbanistikos  skyrius</t>
  </si>
  <si>
    <t>007-01-01-11</t>
  </si>
  <si>
    <t>Kompleksinis sporto ir laisvalaikio zonų sutvarkymas seniūnaitijose</t>
  </si>
  <si>
    <t>007-01-01-12</t>
  </si>
  <si>
    <t>BĮ „Klaipėdos paplūdimiai“ veiklos organizavimas</t>
  </si>
  <si>
    <t>Pajamų įmokos ir kitos pajamos</t>
  </si>
  <si>
    <t>007-01-01-13</t>
  </si>
  <si>
    <t>Smiltynės gelbėjimo stoties rekonstrukcija ir prieigų sutvarkymas</t>
  </si>
  <si>
    <t>007-01-01-14</t>
  </si>
  <si>
    <t>Danės upės ir Smiltynės krantinių remontas</t>
  </si>
  <si>
    <t>007-01-01-15</t>
  </si>
  <si>
    <t>Savivaldybei priskirtų teritorijų sanitarinis valymas, parkų, skverų, žaliųjų plotų želdinimas ir aplinkotvarka</t>
  </si>
  <si>
    <t>Kiti finansavimo šaltiniai</t>
  </si>
  <si>
    <t>007-01-01-16</t>
  </si>
  <si>
    <t>Miesto viešųjų tualetų įrengimas, remontas, priežiūra ir nuoma</t>
  </si>
  <si>
    <t>1.2.1.5.</t>
  </si>
  <si>
    <t>007-01-01-17</t>
  </si>
  <si>
    <t>Gyvūnų gerovės ir apsaugos priemonių įgyvendinimas (beglobių gyvūnų gaudymas, sterilizacija ir kt.)</t>
  </si>
  <si>
    <t>007-01-01-18</t>
  </si>
  <si>
    <t xml:space="preserve">Statinių, keliančių pavojų gyvybei ir sveikatai, griovimas </t>
  </si>
  <si>
    <t>Šlaitų stabilizavimo darbų Šiaurės prospekte atlikimas</t>
  </si>
  <si>
    <t>007-01-01-19</t>
  </si>
  <si>
    <t>Automobilių nuvežimas ir saugojimas</t>
  </si>
  <si>
    <t>–</t>
  </si>
  <si>
    <t xml:space="preserve">Danės upės krantinių rekonstrukcija ir prieigų (Danės skveras su fontanais) sutvarkymas  </t>
  </si>
  <si>
    <t>007-01-01-20</t>
  </si>
  <si>
    <t>K. Donelaičio aikštės sutvarkymas</t>
  </si>
  <si>
    <t>007-01-01-21</t>
  </si>
  <si>
    <t>Slipų įrengimas miesto vandens telkiniuose</t>
  </si>
  <si>
    <t xml:space="preserve">MVPD Statybos skyrius, UAD Žemėtvarkos skyrius
</t>
  </si>
  <si>
    <t>007-01-01-22</t>
  </si>
  <si>
    <t>Girulių – Melnragės ir Smiltynės paplūdimių prieigų ir infrastuktūros sutvarkymas</t>
  </si>
  <si>
    <t>Savivaldybės biudžetas (įskaitant skolintas lėšas)</t>
  </si>
  <si>
    <t>Iš jo:</t>
  </si>
  <si>
    <t xml:space="preserve">Savivaldybės biudžeto lėšos (nuosavos, be ankstesnių metų likučio)' </t>
  </si>
  <si>
    <t>Pajamų įmokos ir kitos pajamos'</t>
  </si>
  <si>
    <t>Ankstesnių metų likučiai'</t>
  </si>
  <si>
    <t>Skolintos lėšos'</t>
  </si>
  <si>
    <t>Kiti šaltiniai</t>
  </si>
  <si>
    <t>Iš jų:</t>
  </si>
  <si>
    <t>Kiti šaltiniai (Europos Sąjungos paramos lėšos)'</t>
  </si>
  <si>
    <t>Kiti finansavimo šaltiniai'</t>
  </si>
  <si>
    <t>007-01-02 (TP)</t>
  </si>
  <si>
    <t>Priemonė: Miesto viešųjų erdvių ir gatvių apšvietimo užtikrinimas</t>
  </si>
  <si>
    <t>007-01-02-01</t>
  </si>
  <si>
    <t>Gatvių ir viešųjų erdvių apšvietimo organizavimo funkcijos įgyvendinimas</t>
  </si>
  <si>
    <t>3.3.2.4.</t>
  </si>
  <si>
    <t>007-01-02-02</t>
  </si>
  <si>
    <t>Viešųjų erdvių (šviesoforų, fontanų, tualetų ir kt.) apšvietimo tinklų ir įrangos eksploatacija</t>
  </si>
  <si>
    <t>007-01-02-03</t>
  </si>
  <si>
    <t>007-02 (T)</t>
  </si>
  <si>
    <t>Uždavinys: Užtikrinti laidojimo paslaugų teikimą, miesto kapinių priežiūrą ir poreikius atitinkantį laidojimo vietų skaičių</t>
  </si>
  <si>
    <t>007-02-01 (TP)</t>
  </si>
  <si>
    <t>Priemonė: Laidojimo paslaugų teikimas ir kapinių priežiūros organizavimas</t>
  </si>
  <si>
    <t>007-02-01-01</t>
  </si>
  <si>
    <t xml:space="preserve">Mirusių (žuvusių) žmonių palaikų pervežimas iš įvykio vietos, laikymas (saugojimas) bei nenustatytos asmenybės palaikų laidojimas </t>
  </si>
  <si>
    <t>007-02-01-02</t>
  </si>
  <si>
    <t>Miesto kapinių priežiūra ir  infrastruktūros atnaujinimas</t>
  </si>
  <si>
    <t>3.2.2.6.</t>
  </si>
  <si>
    <t>007-02-01-03</t>
  </si>
  <si>
    <t>Smeltės istorinių kapinių teritorijos sutvarkymas</t>
  </si>
  <si>
    <t>007-02-01-04</t>
  </si>
  <si>
    <t>Antrojo pasaulinio karo Sovietų Sąjungos karių palaidojimo vietos, esančios S. Daukanto gatvėje, pertvarkymas</t>
  </si>
  <si>
    <t>007-03 (T)</t>
  </si>
  <si>
    <t>Uždavinys: Užtikrinti švarą ir tvarką daugiabučių gyvenamųjų namų kvartaluose, skatinti gyventojus renovuoti, prižiūrėti ir saugoti savo turtą</t>
  </si>
  <si>
    <t>007-03-01 (TP)</t>
  </si>
  <si>
    <t>Priemonė: Daugiabučių gyvenamųjų namų kvartalų atnaujinimo ir priežiūros vykdymas</t>
  </si>
  <si>
    <t>007-03-01-01</t>
  </si>
  <si>
    <t>Daugiabučių namų kiemų automobilių stovėjimo aikštelių ir kitų kietųjų dangų projektavimas, įrengimas ir atnaujinimas</t>
  </si>
  <si>
    <t>3.2.2.1.</t>
  </si>
  <si>
    <t>Lietuvos Respublikos valstybės biudžeto dotacijos</t>
  </si>
  <si>
    <t>Daugiabučių namų kiemų apšvietimo projektavimas ir įrengimas</t>
  </si>
  <si>
    <t>Daugiabučių namų kiemų infrastruktūros gerinimas su gyventojų daliniu prisidėjimu</t>
  </si>
  <si>
    <t>3.2.2.2.</t>
  </si>
  <si>
    <t>007-03-01-02</t>
  </si>
  <si>
    <t xml:space="preserve">Daugiabučių namų savininkų bendrijų (DNSB) pirmininkų mokymų organizavimas </t>
  </si>
  <si>
    <t>007-03-01-03</t>
  </si>
  <si>
    <t xml:space="preserve">Vaikų žaidimo aikštelių įrengimas, atnaujinimas ir priežiūra </t>
  </si>
  <si>
    <t>007-03-01-04</t>
  </si>
  <si>
    <t>Klaipėdos miesto kvartalų energinio efektyvumo didinimo galimybių studija</t>
  </si>
  <si>
    <t>Kompleksinis tikslinės teritorijos daugiabučių namų kiemų tvarkymas</t>
  </si>
  <si>
    <t>Europos Sąjungos ir kitos tarptautinės finansinės paramos lėšos</t>
  </si>
  <si>
    <t>Lietuvos Respublikos valstybės biudžeto dotacijos'</t>
  </si>
  <si>
    <t>Europos Sąjungos ir kitos tarptautinės finansinės paramos lėšos'</t>
  </si>
  <si>
    <t>Kiti šaltiniai (kiti finansavimo šaltiniai)'</t>
  </si>
  <si>
    <t>007-03-02 (TP)</t>
  </si>
  <si>
    <t>Priemonė: Saugios kaimynystės bendruomenėje projektų įgyvendinimas</t>
  </si>
  <si>
    <t>007-04 (T)</t>
  </si>
  <si>
    <t>Uždavinys: Eksploatuoti, remontuoti ir plėtoti inžinerinio aprūpinimo sistemas</t>
  </si>
  <si>
    <t>007-04-01 (TP)</t>
  </si>
  <si>
    <t>Priemonė: Inžinerinio aprūpinimo sistemų tobulinimas</t>
  </si>
  <si>
    <t>007-04-01-01</t>
  </si>
  <si>
    <t>Klaipėdos miesto paviršinių nuotekų tinklų įrengimas, remontas ir rekonstrukcija</t>
  </si>
  <si>
    <t>3.3.3.4.</t>
  </si>
  <si>
    <t>007-04-01-02</t>
  </si>
  <si>
    <t>Dalinio finansavimo skyrimas namų ūkiams prisijungti prie centralizuotų geriamojo vandens tiekimo ir nuotekų tvarkymo infrastruktūros</t>
  </si>
  <si>
    <t>3.2.2.7</t>
  </si>
  <si>
    <t>007-04-01-03</t>
  </si>
  <si>
    <t>47,4 ha Medelyno gyvenamojo rajono infrastruktūros išvystymas. I etapas</t>
  </si>
  <si>
    <t xml:space="preserve"> MVPD Statybos skyrius </t>
  </si>
  <si>
    <t>3.2.1.4.</t>
  </si>
  <si>
    <t>007-04-01-04</t>
  </si>
  <si>
    <t>Kompensacijų mokėjimas infrastruktūros plėtros iniciatoriams už patirtas infrastruktūros plėtros sutartyje nustatytas savivaldybės infrastruktūros plėtros išlaidas</t>
  </si>
  <si>
    <t>007-04-01-05</t>
  </si>
  <si>
    <t>Klaipėdos miesto gatvių kietųjų dangų paviršinių nuotekų priežiūra</t>
  </si>
  <si>
    <t>007-04-01-06</t>
  </si>
  <si>
    <t xml:space="preserve">AB „Klaipėdos vanduo“ įstatinio kapitalo didinimas lietaus nuotekų tinklų įrengimui teritorijoje tarp Tilžės g. ir Vilniaus pl. (A1 magistralinio kelio) 
</t>
  </si>
  <si>
    <t xml:space="preserve">Turto valdymo skyrius </t>
  </si>
  <si>
    <t>3.3.3.4</t>
  </si>
  <si>
    <t>007-04-01-07</t>
  </si>
  <si>
    <t>AB „Klaipėdos vanduo“ įstatinio kapitalo didinimas 
slėginės buitinių nuotekų linijos nuo NS6 iki nuotekų valyklos Dumpiuose rekonstravimui</t>
  </si>
  <si>
    <t>Vartotojų prijungimas prie centralizuotų nuotekų surinkimo tinklų Klaipėdos miesto aglomeracijoje</t>
  </si>
  <si>
    <t xml:space="preserve">Elektrostatinio filtro įrengimas Klaipėdos rajoninės katilinės biokuro katilams </t>
  </si>
  <si>
    <r>
      <rPr>
        <sz val="10"/>
        <color rgb="FF000000"/>
        <rFont val="Times New Roman"/>
        <family val="1"/>
        <charset val="186"/>
      </rPr>
      <t xml:space="preserve">Projekto </t>
    </r>
    <r>
      <rPr>
        <b/>
        <sz val="10"/>
        <color rgb="FF000000"/>
        <rFont val="Times New Roman"/>
        <family val="1"/>
        <charset val="186"/>
      </rPr>
      <t>,,Lietaus nuotekų baseino su išleistuvu Nr. 20 į Trinyčių tvenkinį rekonstrukcija (teritorija nuo Vilniaus pl., Tilžės g., Šilutės pl. dalis, Mokyklos g., Technikos g., teritorija už geležinkelio) Klaipėdoje statybos projektas (projekto korektūra)“</t>
    </r>
    <r>
      <rPr>
        <sz val="10"/>
        <color rgb="FF000000"/>
        <rFont val="Times New Roman"/>
        <family val="1"/>
        <charset val="186"/>
      </rPr>
      <t xml:space="preserve"> I etapo laidos B parengimas.</t>
    </r>
  </si>
  <si>
    <t>MVPD Statybos skyrius</t>
  </si>
  <si>
    <t>Tiesiogiai savivaldybės valdomų įmonių gaunamos dotacijos inžinerinio aprūpinimo sistemoms</t>
  </si>
  <si>
    <t>Gaisrinio vandentiekio tinklų tarp Metalo ir Verslo g. tiesimas (LEZ teritorija)</t>
  </si>
  <si>
    <t>Projektų skyrius, MVPD Statybos skyrius</t>
  </si>
  <si>
    <t>Kiti šaltiniai (valstybės biudžeto lėšos)</t>
  </si>
  <si>
    <t>007-04-01-08</t>
  </si>
  <si>
    <t>Vandentiekio ir nuotekų tinklų Klaipėdos miesto savivaldybės Kairių g. rekonstravimas ir tiesimas</t>
  </si>
  <si>
    <t>3.3.3.2.</t>
  </si>
  <si>
    <t>+</t>
  </si>
  <si>
    <t>Kiti šaltiniai (valstybės biudžeto lėšos)'</t>
  </si>
  <si>
    <t>007-05 (T)</t>
  </si>
  <si>
    <t>Uždavinys: Efektyviai valdyti savivaldybei priklausantį turtą</t>
  </si>
  <si>
    <t>007-05-01 (TP)</t>
  </si>
  <si>
    <t>Priemonė: Savivaldybei nuosavybės teise priklausančio ir patikėjimo teise valdomo turto valdymas, naudojimas ir disponavimas</t>
  </si>
  <si>
    <t>007-05-01-01</t>
  </si>
  <si>
    <t>Nekilnojamojo turto matavimai ir teisinė registracija</t>
  </si>
  <si>
    <t>Turto valdymo skyrius</t>
  </si>
  <si>
    <t>007-05-01-02</t>
  </si>
  <si>
    <t>Savivaldybei priklausančių patalpų eksploatacinių ir kitų išlaidų padengimas</t>
  </si>
  <si>
    <t>Ankstesnių metų likučiai</t>
  </si>
  <si>
    <t>007-05-01-03</t>
  </si>
  <si>
    <t>Pastatų, kuriuose yra savivaldybei priklausančios negyvenamosios patalpos, bendro naudojimo objektų remonto išlaidų padengimas</t>
  </si>
  <si>
    <t>007-05-01-04</t>
  </si>
  <si>
    <t>Savivaldybės kontroliuojamų įmonių įstatinio kapitalo didinimas, perduodant inžinerinius tinklus funkcijoms vykdyti, neveikiančių įmonių likvidavimas</t>
  </si>
  <si>
    <t>007-05-01-05</t>
  </si>
  <si>
    <t>Automobilių statymo aikštelės prie „Švyturio“ arenos apšvietimo išlaidų dengimas ir energinių išteklių išlaidų kompensavimas UAB „Klaipėdos arena“</t>
  </si>
  <si>
    <t>007-05-01-06</t>
  </si>
  <si>
    <t>Objektų rengimas privatizavimui, privatizavimo programų rengimas, objektų privatizavimo organizavimas</t>
  </si>
  <si>
    <t>007-05-01-07</t>
  </si>
  <si>
    <t>Gyvenamųjų patalpų ir jų priklausinių, taip pat pagalbinės paskirties pastatų, jų dalių privatizavimo dokumentų rengimas</t>
  </si>
  <si>
    <t>007-05-01-08</t>
  </si>
  <si>
    <t>Turto valdymo dokumentų rengimas (galimybių studijos, ekspertizės ir kt.)</t>
  </si>
  <si>
    <t>007-05-01-09</t>
  </si>
  <si>
    <t>Savivaldybės turto valdymo strategijos priemonių plano įgyvendinimas</t>
  </si>
  <si>
    <t>007-05-01-10</t>
  </si>
  <si>
    <t>Priedangų infrastruktūros plėtra</t>
  </si>
  <si>
    <t>Civilinės saugos ir mobilizacijos skyrius, 
Projektų skyrius</t>
  </si>
  <si>
    <t>007-05-02 (TP)</t>
  </si>
  <si>
    <t xml:space="preserve">Priemonė: Savivaldybei priklausančių statinių esamos techninės būklės įvertinimo paslaugų įsigijimas </t>
  </si>
  <si>
    <t>UAD Statybų leidimų ir statinių priežiūros skyrius</t>
  </si>
  <si>
    <t xml:space="preserve">IŠ VISO programai finansuoti pagal finansavimo šaltinius </t>
  </si>
  <si>
    <t>Iš jų: regioninių pažangos priemonių lėšos</t>
  </si>
  <si>
    <t>Asignavimų ir kitų lėšų pokytis, palyginti su ankstesnių metų patvirtintų asignavimų ir kitų lėšų planu</t>
  </si>
  <si>
    <t xml:space="preserve">T – tęstinės veiklos uždavinys. </t>
  </si>
  <si>
    <t>P – pažangos uždavinys.</t>
  </si>
  <si>
    <t>TP – tęstinės veiklos priemonė.</t>
  </si>
  <si>
    <t>PP – pažangos priemonė.</t>
  </si>
  <si>
    <t>RP – regioninė pažangos priemonė.</t>
  </si>
  <si>
    <t>2 lentelė.  2024–2027 metų asignavimų ir kitų lėšų pasiskirstymas (tūkst. Eur)</t>
  </si>
  <si>
    <t>Eil. Nr.</t>
  </si>
  <si>
    <t>Programos kodas ir pavadinimas</t>
  </si>
  <si>
    <t>2024 m. asignavimai ir kitos lėšos</t>
  </si>
  <si>
    <t>007 Miesto infrastruktūros objektų priežiūros ir modernizvimo programa</t>
  </si>
  <si>
    <t>1.</t>
  </si>
  <si>
    <r>
      <rPr>
        <sz val="10"/>
        <color rgb="FF000000"/>
        <rFont val="Times New Roman"/>
        <family val="1"/>
        <charset val="186"/>
      </rPr>
      <t xml:space="preserve">Iš jo:
</t>
    </r>
    <r>
      <rPr>
        <b/>
        <sz val="10"/>
        <color rgb="FF000000"/>
        <rFont val="Times New Roman"/>
        <family val="1"/>
        <charset val="186"/>
      </rPr>
      <t xml:space="preserve">
</t>
    </r>
  </si>
  <si>
    <t>1.1.</t>
  </si>
  <si>
    <r>
      <rPr>
        <sz val="10"/>
        <color rgb="FF000000"/>
        <rFont val="Times New Roman"/>
        <family val="1"/>
        <charset val="186"/>
      </rPr>
      <t xml:space="preserve">savivaldybės biudžeto lėšos (nuosavos, be ankstesnių metų likučio)
</t>
    </r>
    <r>
      <rPr>
        <b/>
        <sz val="10"/>
        <color rgb="FF000000"/>
        <rFont val="Times New Roman"/>
        <family val="1"/>
        <charset val="186"/>
      </rPr>
      <t xml:space="preserve">
</t>
    </r>
  </si>
  <si>
    <t>1.2.</t>
  </si>
  <si>
    <t>1.3.</t>
  </si>
  <si>
    <t xml:space="preserve">pajamų įmokos ir kitos pajamos
</t>
  </si>
  <si>
    <t>1.4.</t>
  </si>
  <si>
    <t>1.5.</t>
  </si>
  <si>
    <t>skolintos lėšos</t>
  </si>
  <si>
    <t>1.6.</t>
  </si>
  <si>
    <t>ankstesnių metų likučiai</t>
  </si>
  <si>
    <t>2.</t>
  </si>
  <si>
    <t xml:space="preserve">Kiti šaltiniai (Europos Sąjungos finansinė parama projektams įgyvendinti ir kitos teisėtai gautos lėšos, nurodant atskirus šaltinius)
</t>
  </si>
  <si>
    <t>2.1.</t>
  </si>
  <si>
    <t>Europos Sąjungos paramos lėšos</t>
  </si>
  <si>
    <t>2.2.</t>
  </si>
  <si>
    <t>Privalomojo sveikatos draudimo fondo lėšos</t>
  </si>
  <si>
    <t>2.3.</t>
  </si>
  <si>
    <t>Klaipėdos valstybinio jūrų uosto direkcijos lėšos (KVJUD)</t>
  </si>
  <si>
    <t>2.4.</t>
  </si>
  <si>
    <t>Valstybės biudžeto lėšos (LRVB)</t>
  </si>
  <si>
    <t>2.5.</t>
  </si>
  <si>
    <t>2.6.</t>
  </si>
  <si>
    <t>Kelių priežiūros ir plėtros programos lėšos (KPP)</t>
  </si>
  <si>
    <r>
      <rPr>
        <b/>
        <sz val="10"/>
        <color theme="1"/>
        <rFont val="Times New Roman"/>
        <family val="1"/>
        <charset val="186"/>
      </rPr>
      <t>IŠ VISO</t>
    </r>
    <r>
      <rPr>
        <sz val="10"/>
        <color theme="1"/>
        <rFont val="Times New Roman"/>
        <family val="1"/>
        <charset val="186"/>
      </rPr>
      <t xml:space="preserve"> programai finansuoti pagal finansavimo šaltinius </t>
    </r>
    <r>
      <rPr>
        <i/>
        <sz val="10"/>
        <color theme="1"/>
        <rFont val="Times New Roman"/>
        <family val="1"/>
        <charset val="186"/>
      </rPr>
      <t>(1 ir 2 punktai)</t>
    </r>
  </si>
  <si>
    <t>Viešųjų erdvių, daugiabučių namų kiemų ir gatvių apšvietimo įrengimas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</si>
</sst>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8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sz val="8"/>
      <color theme="1"/>
      <name val="Times New Roman"/>
      <family val="1"/>
      <charset val="186"/>
    </font>
    <font>
      <sz val="8"/>
      <name val="Calibri"/>
      <family val="2"/>
      <charset val="186"/>
      <scheme val="minor"/>
    </font>
    <font>
      <sz val="10"/>
      <name val="Times New Roman"/>
      <family val="1"/>
    </font>
    <font>
      <sz val="8"/>
      <name val="Times New Roman"/>
      <family val="1"/>
      <charset val="186"/>
    </font>
    <font>
      <sz val="11"/>
      <name val="Calibri"/>
      <family val="2"/>
      <charset val="186"/>
      <scheme val="minor"/>
    </font>
    <font>
      <b/>
      <sz val="10"/>
      <name val="Times New Roman"/>
      <family val="1"/>
    </font>
    <font>
      <sz val="12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sz val="10"/>
      <color rgb="FF000000"/>
      <name val="Times New Roman"/>
      <family val="1"/>
    </font>
    <font>
      <sz val="8"/>
      <color rgb="FF000000"/>
      <name val="Times New Roman"/>
      <family val="1"/>
      <charset val="186"/>
    </font>
    <font>
      <strike/>
      <sz val="10"/>
      <color rgb="FF000000"/>
      <name val="Times New Roman"/>
      <family val="1"/>
      <charset val="186"/>
    </font>
    <font>
      <sz val="10"/>
      <color theme="0"/>
      <name val="Times New Roman"/>
      <family val="1"/>
      <charset val="186"/>
    </font>
  </fonts>
  <fills count="10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theme="0"/>
        <bgColor rgb="FF000000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427">
    <xf numFmtId="0" fontId="0" fillId="0" borderId="0" xfId="0"/>
    <xf numFmtId="0" fontId="3" fillId="0" borderId="0" xfId="0" applyFont="1"/>
    <xf numFmtId="0" fontId="3" fillId="0" borderId="0" xfId="0" applyFont="1" applyAlignment="1">
      <alignment vertical="top"/>
    </xf>
    <xf numFmtId="0" fontId="6" fillId="3" borderId="5" xfId="0" applyFont="1" applyFill="1" applyBorder="1" applyAlignment="1">
      <alignment horizontal="left" vertical="top" wrapText="1"/>
    </xf>
    <xf numFmtId="165" fontId="6" fillId="3" borderId="1" xfId="0" applyNumberFormat="1" applyFont="1" applyFill="1" applyBorder="1" applyAlignment="1">
      <alignment horizontal="center" vertical="top" wrapText="1"/>
    </xf>
    <xf numFmtId="0" fontId="6" fillId="4" borderId="1" xfId="0" applyFont="1" applyFill="1" applyBorder="1" applyAlignment="1">
      <alignment vertical="top" wrapText="1"/>
    </xf>
    <xf numFmtId="0" fontId="6" fillId="5" borderId="1" xfId="0" applyFont="1" applyFill="1" applyBorder="1" applyAlignment="1">
      <alignment horizontal="justify" vertical="top" wrapText="1"/>
    </xf>
    <xf numFmtId="0" fontId="6" fillId="3" borderId="1" xfId="0" applyFont="1" applyFill="1" applyBorder="1" applyAlignment="1">
      <alignment horizontal="center" vertical="top" wrapText="1"/>
    </xf>
    <xf numFmtId="0" fontId="6" fillId="5" borderId="1" xfId="0" applyFont="1" applyFill="1" applyBorder="1" applyAlignment="1">
      <alignment vertical="top" wrapText="1"/>
    </xf>
    <xf numFmtId="0" fontId="6" fillId="3" borderId="3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 wrapText="1"/>
    </xf>
    <xf numFmtId="165" fontId="6" fillId="0" borderId="1" xfId="0" applyNumberFormat="1" applyFont="1" applyBorder="1" applyAlignment="1">
      <alignment horizontal="center" vertical="top" wrapText="1"/>
    </xf>
    <xf numFmtId="0" fontId="6" fillId="3" borderId="5" xfId="0" applyFont="1" applyFill="1" applyBorder="1" applyAlignment="1">
      <alignment vertical="top" wrapText="1"/>
    </xf>
    <xf numFmtId="0" fontId="6" fillId="3" borderId="1" xfId="0" applyFont="1" applyFill="1" applyBorder="1" applyAlignment="1">
      <alignment vertical="top" wrapText="1"/>
    </xf>
    <xf numFmtId="0" fontId="6" fillId="0" borderId="3" xfId="0" applyFont="1" applyBorder="1" applyAlignment="1">
      <alignment horizontal="center" vertical="top" wrapText="1"/>
    </xf>
    <xf numFmtId="0" fontId="6" fillId="6" borderId="1" xfId="0" applyFont="1" applyFill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3" fontId="6" fillId="3" borderId="4" xfId="0" applyNumberFormat="1" applyFont="1" applyFill="1" applyBorder="1" applyAlignment="1">
      <alignment vertical="top" wrapText="1"/>
    </xf>
    <xf numFmtId="164" fontId="3" fillId="0" borderId="1" xfId="0" applyNumberFormat="1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 wrapText="1"/>
    </xf>
    <xf numFmtId="164" fontId="6" fillId="3" borderId="1" xfId="0" applyNumberFormat="1" applyFont="1" applyFill="1" applyBorder="1" applyAlignment="1">
      <alignment horizontal="center" vertical="top" wrapText="1"/>
    </xf>
    <xf numFmtId="164" fontId="6" fillId="0" borderId="1" xfId="0" applyNumberFormat="1" applyFont="1" applyBorder="1" applyAlignment="1">
      <alignment horizontal="center" vertical="top" wrapText="1"/>
    </xf>
    <xf numFmtId="164" fontId="6" fillId="0" borderId="6" xfId="0" applyNumberFormat="1" applyFont="1" applyBorder="1" applyAlignment="1">
      <alignment horizontal="center" vertical="top" wrapText="1"/>
    </xf>
    <xf numFmtId="164" fontId="6" fillId="6" borderId="1" xfId="0" applyNumberFormat="1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vertical="top" wrapText="1"/>
    </xf>
    <xf numFmtId="0" fontId="5" fillId="3" borderId="1" xfId="0" applyFont="1" applyFill="1" applyBorder="1" applyAlignment="1">
      <alignment vertical="top"/>
    </xf>
    <xf numFmtId="0" fontId="5" fillId="0" borderId="0" xfId="0" applyFont="1"/>
    <xf numFmtId="0" fontId="5" fillId="0" borderId="0" xfId="0" applyFont="1" applyAlignment="1">
      <alignment vertical="top"/>
    </xf>
    <xf numFmtId="3" fontId="5" fillId="3" borderId="4" xfId="0" applyNumberFormat="1" applyFont="1" applyFill="1" applyBorder="1" applyAlignment="1">
      <alignment vertical="top" wrapText="1"/>
    </xf>
    <xf numFmtId="0" fontId="3" fillId="0" borderId="0" xfId="0" applyFont="1" applyAlignment="1">
      <alignment horizontal="left" vertical="top"/>
    </xf>
    <xf numFmtId="3" fontId="6" fillId="3" borderId="2" xfId="0" applyNumberFormat="1" applyFont="1" applyFill="1" applyBorder="1" applyAlignment="1">
      <alignment vertical="top" wrapText="1"/>
    </xf>
    <xf numFmtId="3" fontId="6" fillId="3" borderId="3" xfId="0" applyNumberFormat="1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164" fontId="6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top" wrapText="1"/>
    </xf>
    <xf numFmtId="0" fontId="6" fillId="3" borderId="6" xfId="0" applyFont="1" applyFill="1" applyBorder="1" applyAlignment="1">
      <alignment vertical="top" wrapText="1"/>
    </xf>
    <xf numFmtId="0" fontId="6" fillId="4" borderId="5" xfId="0" applyFont="1" applyFill="1" applyBorder="1" applyAlignment="1">
      <alignment vertical="top" wrapText="1"/>
    </xf>
    <xf numFmtId="0" fontId="5" fillId="0" borderId="2" xfId="0" applyFont="1" applyBorder="1" applyAlignment="1">
      <alignment horizontal="center" vertical="top" wrapText="1"/>
    </xf>
    <xf numFmtId="0" fontId="5" fillId="3" borderId="2" xfId="0" applyFont="1" applyFill="1" applyBorder="1" applyAlignment="1">
      <alignment vertical="top" wrapText="1"/>
    </xf>
    <xf numFmtId="0" fontId="5" fillId="3" borderId="4" xfId="0" applyFont="1" applyFill="1" applyBorder="1" applyAlignment="1">
      <alignment vertical="top" wrapText="1"/>
    </xf>
    <xf numFmtId="0" fontId="5" fillId="3" borderId="11" xfId="0" applyFont="1" applyFill="1" applyBorder="1" applyAlignment="1">
      <alignment vertical="top" wrapText="1"/>
    </xf>
    <xf numFmtId="0" fontId="6" fillId="3" borderId="6" xfId="0" applyFont="1" applyFill="1" applyBorder="1" applyAlignment="1">
      <alignment horizontal="left" vertical="top" wrapText="1"/>
    </xf>
    <xf numFmtId="0" fontId="5" fillId="3" borderId="6" xfId="0" applyFont="1" applyFill="1" applyBorder="1" applyAlignment="1">
      <alignment horizontal="left" vertical="top" wrapText="1"/>
    </xf>
    <xf numFmtId="3" fontId="5" fillId="3" borderId="2" xfId="0" applyNumberFormat="1" applyFont="1" applyFill="1" applyBorder="1" applyAlignment="1">
      <alignment horizontal="center" vertical="top" wrapText="1"/>
    </xf>
    <xf numFmtId="165" fontId="5" fillId="0" borderId="3" xfId="0" applyNumberFormat="1" applyFont="1" applyBorder="1" applyAlignment="1">
      <alignment horizontal="center" vertical="top" wrapText="1"/>
    </xf>
    <xf numFmtId="0" fontId="6" fillId="6" borderId="23" xfId="0" applyFont="1" applyFill="1" applyBorder="1" applyAlignment="1">
      <alignment vertical="top"/>
    </xf>
    <xf numFmtId="0" fontId="6" fillId="3" borderId="19" xfId="0" applyFont="1" applyFill="1" applyBorder="1" applyAlignment="1">
      <alignment vertical="top" wrapText="1"/>
    </xf>
    <xf numFmtId="0" fontId="15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top" wrapText="1"/>
    </xf>
    <xf numFmtId="0" fontId="5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164" fontId="5" fillId="3" borderId="1" xfId="0" applyNumberFormat="1" applyFont="1" applyFill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center" vertical="top" wrapText="1"/>
    </xf>
    <xf numFmtId="164" fontId="5" fillId="3" borderId="3" xfId="0" applyNumberFormat="1" applyFont="1" applyFill="1" applyBorder="1" applyAlignment="1">
      <alignment horizontal="center" vertical="top" wrapText="1"/>
    </xf>
    <xf numFmtId="0" fontId="5" fillId="3" borderId="9" xfId="0" applyFont="1" applyFill="1" applyBorder="1" applyAlignment="1">
      <alignment vertical="top" wrapText="1"/>
    </xf>
    <xf numFmtId="165" fontId="5" fillId="3" borderId="3" xfId="0" applyNumberFormat="1" applyFont="1" applyFill="1" applyBorder="1" applyAlignment="1">
      <alignment horizontal="center" vertical="top" wrapText="1"/>
    </xf>
    <xf numFmtId="0" fontId="5" fillId="3" borderId="7" xfId="0" applyFont="1" applyFill="1" applyBorder="1" applyAlignment="1">
      <alignment vertical="top" wrapText="1"/>
    </xf>
    <xf numFmtId="0" fontId="5" fillId="0" borderId="9" xfId="0" applyFont="1" applyBorder="1" applyAlignment="1">
      <alignment vertical="top" wrapText="1"/>
    </xf>
    <xf numFmtId="165" fontId="5" fillId="3" borderId="8" xfId="0" applyNumberFormat="1" applyFont="1" applyFill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6" fillId="3" borderId="3" xfId="0" applyFont="1" applyFill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0" fontId="5" fillId="6" borderId="1" xfId="0" applyFont="1" applyFill="1" applyBorder="1" applyAlignment="1">
      <alignment horizontal="justify" vertical="center" wrapText="1"/>
    </xf>
    <xf numFmtId="0" fontId="5" fillId="6" borderId="1" xfId="0" applyFont="1" applyFill="1" applyBorder="1" applyAlignment="1">
      <alignment vertical="center" wrapText="1"/>
    </xf>
    <xf numFmtId="0" fontId="6" fillId="6" borderId="1" xfId="0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top" wrapText="1"/>
    </xf>
    <xf numFmtId="0" fontId="5" fillId="5" borderId="1" xfId="0" applyFont="1" applyFill="1" applyBorder="1" applyAlignment="1">
      <alignment vertical="center" wrapText="1"/>
    </xf>
    <xf numFmtId="164" fontId="6" fillId="5" borderId="1" xfId="0" applyNumberFormat="1" applyFont="1" applyFill="1" applyBorder="1" applyAlignment="1">
      <alignment horizontal="center" vertical="top" wrapText="1"/>
    </xf>
    <xf numFmtId="0" fontId="5" fillId="3" borderId="3" xfId="0" applyFont="1" applyFill="1" applyBorder="1" applyAlignment="1">
      <alignment horizontal="center" vertical="top" wrapText="1"/>
    </xf>
    <xf numFmtId="164" fontId="6" fillId="4" borderId="1" xfId="0" applyNumberFormat="1" applyFont="1" applyFill="1" applyBorder="1" applyAlignment="1">
      <alignment horizontal="center" vertical="top" wrapText="1"/>
    </xf>
    <xf numFmtId="0" fontId="6" fillId="6" borderId="5" xfId="0" applyFont="1" applyFill="1" applyBorder="1" applyAlignment="1">
      <alignment vertical="top" wrapText="1"/>
    </xf>
    <xf numFmtId="164" fontId="6" fillId="6" borderId="6" xfId="0" applyNumberFormat="1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vertical="top" wrapText="1"/>
    </xf>
    <xf numFmtId="164" fontId="5" fillId="4" borderId="1" xfId="0" applyNumberFormat="1" applyFont="1" applyFill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center" vertical="top" wrapText="1"/>
    </xf>
    <xf numFmtId="0" fontId="5" fillId="6" borderId="3" xfId="0" applyFont="1" applyFill="1" applyBorder="1" applyAlignment="1">
      <alignment horizontal="center" vertical="top" wrapText="1"/>
    </xf>
    <xf numFmtId="165" fontId="6" fillId="6" borderId="1" xfId="0" applyNumberFormat="1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top"/>
    </xf>
    <xf numFmtId="0" fontId="5" fillId="5" borderId="1" xfId="0" applyFont="1" applyFill="1" applyBorder="1" applyAlignment="1">
      <alignment horizontal="center" vertical="top" wrapText="1"/>
    </xf>
    <xf numFmtId="0" fontId="6" fillId="3" borderId="0" xfId="0" applyFont="1" applyFill="1" applyAlignment="1">
      <alignment vertical="top" wrapText="1"/>
    </xf>
    <xf numFmtId="0" fontId="5" fillId="0" borderId="5" xfId="0" applyFont="1" applyBorder="1" applyAlignment="1">
      <alignment vertical="top" wrapText="1"/>
    </xf>
    <xf numFmtId="0" fontId="5" fillId="0" borderId="11" xfId="0" applyFont="1" applyBorder="1" applyAlignment="1">
      <alignment vertical="top" wrapText="1"/>
    </xf>
    <xf numFmtId="3" fontId="6" fillId="3" borderId="11" xfId="0" applyNumberFormat="1" applyFont="1" applyFill="1" applyBorder="1" applyAlignment="1">
      <alignment vertical="top" wrapText="1"/>
    </xf>
    <xf numFmtId="0" fontId="15" fillId="0" borderId="11" xfId="0" applyFont="1" applyBorder="1" applyAlignment="1">
      <alignment vertical="top"/>
    </xf>
    <xf numFmtId="0" fontId="5" fillId="6" borderId="1" xfId="0" applyFont="1" applyFill="1" applyBorder="1" applyAlignment="1">
      <alignment horizontal="center" vertical="top" wrapText="1"/>
    </xf>
    <xf numFmtId="0" fontId="5" fillId="6" borderId="1" xfId="0" applyFont="1" applyFill="1" applyBorder="1" applyAlignment="1">
      <alignment horizontal="center" vertical="center" wrapText="1"/>
    </xf>
    <xf numFmtId="164" fontId="6" fillId="6" borderId="11" xfId="0" applyNumberFormat="1" applyFont="1" applyFill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18" fillId="0" borderId="24" xfId="0" applyFont="1" applyBorder="1" applyAlignment="1">
      <alignment vertical="top"/>
    </xf>
    <xf numFmtId="164" fontId="5" fillId="0" borderId="1" xfId="0" applyNumberFormat="1" applyFont="1" applyBorder="1" applyAlignment="1">
      <alignment vertical="top" wrapText="1"/>
    </xf>
    <xf numFmtId="0" fontId="6" fillId="0" borderId="5" xfId="0" applyFont="1" applyBorder="1" applyAlignment="1">
      <alignment vertical="center" wrapText="1"/>
    </xf>
    <xf numFmtId="0" fontId="6" fillId="3" borderId="5" xfId="0" applyFont="1" applyFill="1" applyBorder="1" applyAlignment="1">
      <alignment vertical="center" wrapText="1"/>
    </xf>
    <xf numFmtId="0" fontId="5" fillId="6" borderId="4" xfId="0" applyFont="1" applyFill="1" applyBorder="1" applyAlignment="1">
      <alignment horizontal="center" vertical="center" wrapText="1"/>
    </xf>
    <xf numFmtId="164" fontId="5" fillId="0" borderId="0" xfId="0" applyNumberFormat="1" applyFont="1"/>
    <xf numFmtId="0" fontId="19" fillId="0" borderId="0" xfId="0" applyFont="1" applyAlignment="1">
      <alignment vertical="top" wrapText="1"/>
    </xf>
    <xf numFmtId="164" fontId="6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/>
    <xf numFmtId="164" fontId="6" fillId="0" borderId="24" xfId="0" applyNumberFormat="1" applyFont="1" applyBorder="1" applyAlignment="1">
      <alignment horizontal="center" vertical="top" wrapText="1"/>
    </xf>
    <xf numFmtId="164" fontId="7" fillId="3" borderId="1" xfId="0" applyNumberFormat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/>
    </xf>
    <xf numFmtId="164" fontId="3" fillId="3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164" fontId="1" fillId="3" borderId="1" xfId="0" applyNumberFormat="1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8" fillId="3" borderId="1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5" fillId="0" borderId="25" xfId="0" applyFont="1" applyBorder="1" applyAlignment="1">
      <alignment horizontal="center" vertical="top" wrapText="1"/>
    </xf>
    <xf numFmtId="165" fontId="8" fillId="3" borderId="1" xfId="0" applyNumberFormat="1" applyFont="1" applyFill="1" applyBorder="1" applyAlignment="1">
      <alignment horizontal="center" vertical="top" wrapText="1"/>
    </xf>
    <xf numFmtId="165" fontId="8" fillId="3" borderId="3" xfId="0" applyNumberFormat="1" applyFont="1" applyFill="1" applyBorder="1" applyAlignment="1">
      <alignment horizontal="center" vertical="top" wrapText="1"/>
    </xf>
    <xf numFmtId="0" fontId="8" fillId="3" borderId="3" xfId="0" applyFont="1" applyFill="1" applyBorder="1" applyAlignment="1">
      <alignment horizontal="center" vertical="top" wrapText="1"/>
    </xf>
    <xf numFmtId="164" fontId="8" fillId="3" borderId="1" xfId="0" applyNumberFormat="1" applyFont="1" applyFill="1" applyBorder="1" applyAlignment="1">
      <alignment horizontal="center" vertical="top" wrapText="1"/>
    </xf>
    <xf numFmtId="164" fontId="8" fillId="3" borderId="0" xfId="0" applyNumberFormat="1" applyFont="1" applyFill="1" applyAlignment="1">
      <alignment horizontal="center" vertical="top" wrapText="1"/>
    </xf>
    <xf numFmtId="165" fontId="22" fillId="3" borderId="3" xfId="0" applyNumberFormat="1" applyFont="1" applyFill="1" applyBorder="1" applyAlignment="1">
      <alignment horizontal="center" vertical="top" wrapText="1"/>
    </xf>
    <xf numFmtId="3" fontId="8" fillId="3" borderId="11" xfId="0" applyNumberFormat="1" applyFont="1" applyFill="1" applyBorder="1" applyAlignment="1">
      <alignment vertical="top" wrapText="1"/>
    </xf>
    <xf numFmtId="165" fontId="8" fillId="3" borderId="8" xfId="0" applyNumberFormat="1" applyFont="1" applyFill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left" vertical="top" wrapText="1"/>
    </xf>
    <xf numFmtId="49" fontId="5" fillId="3" borderId="4" xfId="0" applyNumberFormat="1" applyFont="1" applyFill="1" applyBorder="1" applyAlignment="1">
      <alignment horizontal="center" vertical="top" wrapText="1"/>
    </xf>
    <xf numFmtId="3" fontId="6" fillId="3" borderId="26" xfId="0" applyNumberFormat="1" applyFont="1" applyFill="1" applyBorder="1" applyAlignment="1">
      <alignment vertical="top" wrapText="1"/>
    </xf>
    <xf numFmtId="164" fontId="8" fillId="0" borderId="1" xfId="0" applyNumberFormat="1" applyFont="1" applyBorder="1" applyAlignment="1">
      <alignment horizontal="center" vertical="top" wrapText="1"/>
    </xf>
    <xf numFmtId="0" fontId="8" fillId="7" borderId="28" xfId="0" applyFont="1" applyFill="1" applyBorder="1" applyAlignment="1">
      <alignment vertical="top" wrapText="1"/>
    </xf>
    <xf numFmtId="0" fontId="15" fillId="7" borderId="29" xfId="0" applyFont="1" applyFill="1" applyBorder="1" applyAlignment="1">
      <alignment vertical="top"/>
    </xf>
    <xf numFmtId="164" fontId="5" fillId="3" borderId="11" xfId="0" applyNumberFormat="1" applyFont="1" applyFill="1" applyBorder="1" applyAlignment="1">
      <alignment horizontal="center" vertical="top" wrapText="1"/>
    </xf>
    <xf numFmtId="164" fontId="3" fillId="0" borderId="0" xfId="0" applyNumberFormat="1" applyFont="1"/>
    <xf numFmtId="0" fontId="18" fillId="5" borderId="1" xfId="0" applyFont="1" applyFill="1" applyBorder="1" applyAlignment="1">
      <alignment vertical="top" wrapText="1"/>
    </xf>
    <xf numFmtId="165" fontId="5" fillId="3" borderId="4" xfId="0" applyNumberFormat="1" applyFont="1" applyFill="1" applyBorder="1" applyAlignment="1">
      <alignment horizontal="center" vertical="top" wrapText="1"/>
    </xf>
    <xf numFmtId="0" fontId="5" fillId="0" borderId="30" xfId="0" applyFont="1" applyBorder="1" applyAlignment="1">
      <alignment horizontal="center" vertical="top" wrapText="1"/>
    </xf>
    <xf numFmtId="0" fontId="5" fillId="6" borderId="3" xfId="0" applyFont="1" applyFill="1" applyBorder="1" applyAlignment="1">
      <alignment horizontal="center" vertical="center" wrapText="1"/>
    </xf>
    <xf numFmtId="0" fontId="5" fillId="3" borderId="0" xfId="0" applyFont="1" applyFill="1"/>
    <xf numFmtId="0" fontId="6" fillId="3" borderId="11" xfId="0" applyFont="1" applyFill="1" applyBorder="1" applyAlignment="1">
      <alignment horizontal="center" vertical="top" wrapText="1"/>
    </xf>
    <xf numFmtId="0" fontId="6" fillId="6" borderId="10" xfId="0" applyFont="1" applyFill="1" applyBorder="1" applyAlignment="1">
      <alignment horizontal="center" vertical="top" wrapText="1"/>
    </xf>
    <xf numFmtId="0" fontId="5" fillId="3" borderId="5" xfId="0" applyFont="1" applyFill="1" applyBorder="1" applyAlignment="1">
      <alignment vertical="top" wrapText="1"/>
    </xf>
    <xf numFmtId="165" fontId="15" fillId="3" borderId="3" xfId="0" applyNumberFormat="1" applyFont="1" applyFill="1" applyBorder="1" applyAlignment="1">
      <alignment horizontal="center" vertical="top" wrapText="1"/>
    </xf>
    <xf numFmtId="0" fontId="15" fillId="3" borderId="1" xfId="0" applyFont="1" applyFill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6" fillId="3" borderId="3" xfId="0" applyFont="1" applyFill="1" applyBorder="1" applyAlignment="1">
      <alignment horizontal="center" vertical="top" wrapText="1"/>
    </xf>
    <xf numFmtId="0" fontId="18" fillId="3" borderId="34" xfId="0" applyFont="1" applyFill="1" applyBorder="1" applyAlignment="1">
      <alignment vertical="top" wrapText="1"/>
    </xf>
    <xf numFmtId="165" fontId="15" fillId="3" borderId="36" xfId="0" applyNumberFormat="1" applyFont="1" applyFill="1" applyBorder="1" applyAlignment="1">
      <alignment horizontal="center" vertical="top" wrapText="1"/>
    </xf>
    <xf numFmtId="0" fontId="15" fillId="3" borderId="37" xfId="0" applyFont="1" applyFill="1" applyBorder="1" applyAlignment="1">
      <alignment horizontal="center" vertical="top" wrapText="1"/>
    </xf>
    <xf numFmtId="0" fontId="15" fillId="3" borderId="38" xfId="0" applyFont="1" applyFill="1" applyBorder="1" applyAlignment="1">
      <alignment vertical="top" wrapText="1"/>
    </xf>
    <xf numFmtId="165" fontId="24" fillId="3" borderId="8" xfId="0" applyNumberFormat="1" applyFont="1" applyFill="1" applyBorder="1" applyAlignment="1">
      <alignment horizontal="center" vertical="top" wrapText="1"/>
    </xf>
    <xf numFmtId="165" fontId="15" fillId="3" borderId="8" xfId="0" applyNumberFormat="1" applyFont="1" applyFill="1" applyBorder="1" applyAlignment="1">
      <alignment horizontal="center" vertical="top" wrapText="1"/>
    </xf>
    <xf numFmtId="0" fontId="15" fillId="3" borderId="40" xfId="0" applyFont="1" applyFill="1" applyBorder="1" applyAlignment="1">
      <alignment horizontal="center" vertical="top" wrapText="1"/>
    </xf>
    <xf numFmtId="165" fontId="5" fillId="3" borderId="19" xfId="0" applyNumberFormat="1" applyFont="1" applyFill="1" applyBorder="1" applyAlignment="1">
      <alignment horizontal="center" vertical="top" wrapText="1"/>
    </xf>
    <xf numFmtId="0" fontId="5" fillId="0" borderId="19" xfId="0" applyFont="1" applyBorder="1" applyAlignment="1">
      <alignment horizontal="center" vertical="top" wrapText="1"/>
    </xf>
    <xf numFmtId="0" fontId="15" fillId="6" borderId="42" xfId="0" applyFont="1" applyFill="1" applyBorder="1" applyAlignment="1">
      <alignment horizontal="justify" vertical="center" wrapText="1"/>
    </xf>
    <xf numFmtId="0" fontId="6" fillId="6" borderId="43" xfId="0" applyFont="1" applyFill="1" applyBorder="1" applyAlignment="1">
      <alignment vertical="top" wrapText="1"/>
    </xf>
    <xf numFmtId="0" fontId="5" fillId="6" borderId="43" xfId="0" applyFont="1" applyFill="1" applyBorder="1" applyAlignment="1">
      <alignment vertical="center" wrapText="1"/>
    </xf>
    <xf numFmtId="164" fontId="6" fillId="6" borderId="43" xfId="0" applyNumberFormat="1" applyFont="1" applyFill="1" applyBorder="1" applyAlignment="1">
      <alignment horizontal="center" vertical="top" wrapText="1"/>
    </xf>
    <xf numFmtId="0" fontId="6" fillId="6" borderId="44" xfId="0" applyFont="1" applyFill="1" applyBorder="1" applyAlignment="1">
      <alignment horizontal="center" vertical="top" wrapText="1"/>
    </xf>
    <xf numFmtId="165" fontId="5" fillId="3" borderId="10" xfId="0" applyNumberFormat="1" applyFont="1" applyFill="1" applyBorder="1" applyAlignment="1">
      <alignment horizontal="center" vertical="top" wrapText="1"/>
    </xf>
    <xf numFmtId="0" fontId="6" fillId="3" borderId="3" xfId="0" applyFont="1" applyFill="1" applyBorder="1" applyAlignment="1">
      <alignment vertical="center" wrapText="1"/>
    </xf>
    <xf numFmtId="164" fontId="6" fillId="3" borderId="3" xfId="0" applyNumberFormat="1" applyFont="1" applyFill="1" applyBorder="1" applyAlignment="1">
      <alignment horizontal="center" vertical="top" wrapText="1"/>
    </xf>
    <xf numFmtId="0" fontId="5" fillId="3" borderId="3" xfId="0" applyFont="1" applyFill="1" applyBorder="1" applyAlignment="1">
      <alignment horizontal="center" vertical="center" wrapText="1"/>
    </xf>
    <xf numFmtId="0" fontId="5" fillId="6" borderId="23" xfId="0" applyFont="1" applyFill="1" applyBorder="1" applyAlignment="1">
      <alignment horizontal="justify" vertical="center" wrapText="1"/>
    </xf>
    <xf numFmtId="0" fontId="6" fillId="4" borderId="23" xfId="0" applyFont="1" applyFill="1" applyBorder="1" applyAlignment="1">
      <alignment vertical="top" wrapText="1"/>
    </xf>
    <xf numFmtId="0" fontId="6" fillId="5" borderId="23" xfId="0" applyFont="1" applyFill="1" applyBorder="1" applyAlignment="1">
      <alignment horizontal="justify" vertical="top" wrapText="1"/>
    </xf>
    <xf numFmtId="0" fontId="5" fillId="3" borderId="20" xfId="0" applyFont="1" applyFill="1" applyBorder="1" applyAlignment="1">
      <alignment vertical="top" wrapText="1"/>
    </xf>
    <xf numFmtId="0" fontId="5" fillId="3" borderId="21" xfId="0" applyFont="1" applyFill="1" applyBorder="1" applyAlignment="1">
      <alignment vertical="top" wrapText="1"/>
    </xf>
    <xf numFmtId="0" fontId="5" fillId="3" borderId="19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top" wrapText="1"/>
    </xf>
    <xf numFmtId="0" fontId="6" fillId="3" borderId="46" xfId="0" applyFont="1" applyFill="1" applyBorder="1" applyAlignment="1">
      <alignment horizontal="left" vertical="top" wrapText="1"/>
    </xf>
    <xf numFmtId="0" fontId="5" fillId="0" borderId="46" xfId="0" applyFont="1" applyBorder="1" applyAlignment="1">
      <alignment vertical="top" wrapText="1"/>
    </xf>
    <xf numFmtId="0" fontId="6" fillId="3" borderId="31" xfId="0" applyFont="1" applyFill="1" applyBorder="1" applyAlignment="1">
      <alignment horizontal="left" vertical="top" wrapText="1"/>
    </xf>
    <xf numFmtId="0" fontId="5" fillId="3" borderId="6" xfId="0" applyFont="1" applyFill="1" applyBorder="1" applyAlignment="1">
      <alignment vertical="top" wrapText="1"/>
    </xf>
    <xf numFmtId="0" fontId="6" fillId="6" borderId="6" xfId="0" applyFont="1" applyFill="1" applyBorder="1" applyAlignment="1">
      <alignment vertical="top" wrapText="1"/>
    </xf>
    <xf numFmtId="0" fontId="6" fillId="4" borderId="6" xfId="0" applyFont="1" applyFill="1" applyBorder="1" applyAlignment="1">
      <alignment vertical="top" wrapText="1"/>
    </xf>
    <xf numFmtId="0" fontId="6" fillId="5" borderId="6" xfId="0" applyFont="1" applyFill="1" applyBorder="1" applyAlignment="1">
      <alignment vertical="top" wrapText="1"/>
    </xf>
    <xf numFmtId="0" fontId="6" fillId="6" borderId="33" xfId="0" applyFont="1" applyFill="1" applyBorder="1" applyAlignment="1">
      <alignment vertical="top" wrapText="1"/>
    </xf>
    <xf numFmtId="0" fontId="6" fillId="3" borderId="33" xfId="0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justify" vertical="top" wrapText="1"/>
    </xf>
    <xf numFmtId="0" fontId="5" fillId="3" borderId="2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vertical="center" wrapText="1"/>
    </xf>
    <xf numFmtId="0" fontId="18" fillId="8" borderId="0" xfId="0" applyFont="1" applyFill="1" applyAlignment="1">
      <alignment vertical="top"/>
    </xf>
    <xf numFmtId="0" fontId="18" fillId="7" borderId="5" xfId="0" applyFont="1" applyFill="1" applyBorder="1" applyAlignment="1">
      <alignment vertical="top" wrapText="1"/>
    </xf>
    <xf numFmtId="0" fontId="6" fillId="4" borderId="33" xfId="0" applyFont="1" applyFill="1" applyBorder="1" applyAlignment="1">
      <alignment vertical="top" wrapText="1"/>
    </xf>
    <xf numFmtId="0" fontId="6" fillId="5" borderId="3" xfId="0" applyFont="1" applyFill="1" applyBorder="1" applyAlignment="1">
      <alignment horizontal="justify" vertical="top" wrapText="1"/>
    </xf>
    <xf numFmtId="0" fontId="5" fillId="3" borderId="10" xfId="0" applyFont="1" applyFill="1" applyBorder="1" applyAlignment="1">
      <alignment vertical="center" wrapText="1"/>
    </xf>
    <xf numFmtId="0" fontId="18" fillId="7" borderId="33" xfId="0" applyFont="1" applyFill="1" applyBorder="1" applyAlignment="1">
      <alignment vertical="top" wrapText="1"/>
    </xf>
    <xf numFmtId="0" fontId="6" fillId="4" borderId="19" xfId="0" applyFont="1" applyFill="1" applyBorder="1" applyAlignment="1">
      <alignment vertical="top" wrapText="1"/>
    </xf>
    <xf numFmtId="0" fontId="18" fillId="7" borderId="3" xfId="0" applyFont="1" applyFill="1" applyBorder="1" applyAlignment="1">
      <alignment vertical="top"/>
    </xf>
    <xf numFmtId="0" fontId="6" fillId="6" borderId="1" xfId="0" applyFont="1" applyFill="1" applyBorder="1" applyAlignment="1">
      <alignment vertical="top"/>
    </xf>
    <xf numFmtId="0" fontId="5" fillId="3" borderId="4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vertical="top"/>
    </xf>
    <xf numFmtId="0" fontId="5" fillId="0" borderId="11" xfId="0" applyFont="1" applyBorder="1" applyAlignment="1">
      <alignment horizontal="justify" vertical="center" wrapText="1"/>
    </xf>
    <xf numFmtId="0" fontId="5" fillId="3" borderId="11" xfId="0" applyFont="1" applyFill="1" applyBorder="1" applyAlignment="1">
      <alignment vertical="center" wrapText="1"/>
    </xf>
    <xf numFmtId="0" fontId="6" fillId="0" borderId="1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justify" vertical="center" wrapText="1"/>
    </xf>
    <xf numFmtId="0" fontId="6" fillId="3" borderId="2" xfId="0" applyFont="1" applyFill="1" applyBorder="1" applyAlignment="1">
      <alignment vertical="top" wrapText="1"/>
    </xf>
    <xf numFmtId="164" fontId="6" fillId="3" borderId="2" xfId="0" applyNumberFormat="1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/>
    </xf>
    <xf numFmtId="164" fontId="3" fillId="0" borderId="11" xfId="0" applyNumberFormat="1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/>
    </xf>
    <xf numFmtId="164" fontId="3" fillId="0" borderId="2" xfId="0" applyNumberFormat="1" applyFont="1" applyBorder="1" applyAlignment="1">
      <alignment horizontal="center" vertical="top" wrapText="1"/>
    </xf>
    <xf numFmtId="0" fontId="15" fillId="3" borderId="33" xfId="0" applyFont="1" applyFill="1" applyBorder="1" applyAlignment="1">
      <alignment vertical="top" wrapText="1"/>
    </xf>
    <xf numFmtId="164" fontId="5" fillId="3" borderId="6" xfId="0" applyNumberFormat="1" applyFont="1" applyFill="1" applyBorder="1" applyAlignment="1">
      <alignment vertical="top" wrapText="1"/>
    </xf>
    <xf numFmtId="164" fontId="5" fillId="3" borderId="6" xfId="0" applyNumberFormat="1" applyFont="1" applyFill="1" applyBorder="1" applyAlignment="1">
      <alignment horizontal="center" vertical="top" wrapText="1"/>
    </xf>
    <xf numFmtId="0" fontId="15" fillId="3" borderId="27" xfId="0" applyFont="1" applyFill="1" applyBorder="1" applyAlignment="1">
      <alignment vertical="top"/>
    </xf>
    <xf numFmtId="0" fontId="5" fillId="6" borderId="3" xfId="0" applyFont="1" applyFill="1" applyBorder="1" applyAlignment="1">
      <alignment vertical="top" wrapText="1"/>
    </xf>
    <xf numFmtId="164" fontId="5" fillId="0" borderId="36" xfId="0" applyNumberFormat="1" applyFont="1" applyBorder="1" applyAlignment="1">
      <alignment horizontal="center" vertical="top" wrapText="1"/>
    </xf>
    <xf numFmtId="0" fontId="5" fillId="0" borderId="36" xfId="0" applyFont="1" applyBorder="1" applyAlignment="1">
      <alignment horizontal="center" vertical="top" wrapText="1"/>
    </xf>
    <xf numFmtId="0" fontId="5" fillId="0" borderId="10" xfId="0" applyFont="1" applyBorder="1" applyAlignment="1">
      <alignment vertical="top" wrapText="1"/>
    </xf>
    <xf numFmtId="164" fontId="5" fillId="3" borderId="2" xfId="0" applyNumberFormat="1" applyFont="1" applyFill="1" applyBorder="1" applyAlignment="1">
      <alignment horizontal="center" vertical="top" wrapText="1"/>
    </xf>
    <xf numFmtId="0" fontId="5" fillId="5" borderId="2" xfId="0" applyFont="1" applyFill="1" applyBorder="1" applyAlignment="1">
      <alignment vertical="center" wrapText="1"/>
    </xf>
    <xf numFmtId="165" fontId="5" fillId="3" borderId="11" xfId="0" applyNumberFormat="1" applyFont="1" applyFill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3" borderId="2" xfId="0" applyFont="1" applyFill="1" applyBorder="1" applyAlignment="1">
      <alignment horizontal="center" vertical="top" wrapText="1"/>
    </xf>
    <xf numFmtId="165" fontId="5" fillId="0" borderId="0" xfId="0" applyNumberFormat="1" applyFont="1"/>
    <xf numFmtId="0" fontId="21" fillId="3" borderId="11" xfId="0" applyFont="1" applyFill="1" applyBorder="1" applyAlignment="1">
      <alignment vertical="top" wrapText="1"/>
    </xf>
    <xf numFmtId="0" fontId="23" fillId="3" borderId="17" xfId="0" applyFont="1" applyFill="1" applyBorder="1" applyAlignment="1">
      <alignment vertical="top" wrapText="1"/>
    </xf>
    <xf numFmtId="0" fontId="8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top" wrapText="1"/>
    </xf>
    <xf numFmtId="0" fontId="2" fillId="5" borderId="1" xfId="0" applyFont="1" applyFill="1" applyBorder="1" applyAlignment="1">
      <alignment horizontal="center" vertical="top" wrapText="1"/>
    </xf>
    <xf numFmtId="164" fontId="2" fillId="3" borderId="1" xfId="0" applyNumberFormat="1" applyFont="1" applyFill="1" applyBorder="1" applyAlignment="1">
      <alignment horizontal="center" vertical="top" wrapText="1"/>
    </xf>
    <xf numFmtId="165" fontId="8" fillId="0" borderId="3" xfId="0" applyNumberFormat="1" applyFont="1" applyBorder="1" applyAlignment="1">
      <alignment horizontal="center" vertical="top" wrapText="1"/>
    </xf>
    <xf numFmtId="164" fontId="8" fillId="3" borderId="3" xfId="0" applyNumberFormat="1" applyFont="1" applyFill="1" applyBorder="1" applyAlignment="1">
      <alignment horizontal="center" vertical="top" wrapText="1"/>
    </xf>
    <xf numFmtId="165" fontId="8" fillId="3" borderId="7" xfId="0" applyNumberFormat="1" applyFont="1" applyFill="1" applyBorder="1" applyAlignment="1">
      <alignment horizontal="center" vertical="top" wrapText="1"/>
    </xf>
    <xf numFmtId="165" fontId="8" fillId="3" borderId="4" xfId="0" applyNumberFormat="1" applyFont="1" applyFill="1" applyBorder="1" applyAlignment="1">
      <alignment horizontal="center" vertical="top" wrapText="1"/>
    </xf>
    <xf numFmtId="165" fontId="24" fillId="3" borderId="35" xfId="0" applyNumberFormat="1" applyFont="1" applyFill="1" applyBorder="1" applyAlignment="1">
      <alignment horizontal="center" vertical="top" wrapText="1"/>
    </xf>
    <xf numFmtId="165" fontId="24" fillId="3" borderId="39" xfId="0" applyNumberFormat="1" applyFont="1" applyFill="1" applyBorder="1" applyAlignment="1">
      <alignment horizontal="center" vertical="top" wrapText="1"/>
    </xf>
    <xf numFmtId="165" fontId="8" fillId="3" borderId="19" xfId="0" applyNumberFormat="1" applyFont="1" applyFill="1" applyBorder="1" applyAlignment="1">
      <alignment horizontal="center" vertical="top" wrapText="1"/>
    </xf>
    <xf numFmtId="165" fontId="8" fillId="3" borderId="11" xfId="0" applyNumberFormat="1" applyFont="1" applyFill="1" applyBorder="1" applyAlignment="1">
      <alignment horizontal="center" vertical="top" wrapText="1"/>
    </xf>
    <xf numFmtId="164" fontId="2" fillId="6" borderId="43" xfId="0" applyNumberFormat="1" applyFont="1" applyFill="1" applyBorder="1" applyAlignment="1">
      <alignment horizontal="center" vertical="top" wrapText="1"/>
    </xf>
    <xf numFmtId="164" fontId="2" fillId="3" borderId="3" xfId="0" applyNumberFormat="1" applyFont="1" applyFill="1" applyBorder="1" applyAlignment="1">
      <alignment horizontal="center" vertical="top" wrapText="1"/>
    </xf>
    <xf numFmtId="164" fontId="2" fillId="0" borderId="1" xfId="0" applyNumberFormat="1" applyFont="1" applyBorder="1" applyAlignment="1">
      <alignment horizontal="center" vertical="top" wrapText="1"/>
    </xf>
    <xf numFmtId="164" fontId="2" fillId="6" borderId="6" xfId="0" applyNumberFormat="1" applyFont="1" applyFill="1" applyBorder="1" applyAlignment="1">
      <alignment horizontal="center" vertical="top" wrapText="1"/>
    </xf>
    <xf numFmtId="164" fontId="2" fillId="3" borderId="6" xfId="0" applyNumberFormat="1" applyFont="1" applyFill="1" applyBorder="1" applyAlignment="1">
      <alignment horizontal="center" vertical="top" wrapText="1"/>
    </xf>
    <xf numFmtId="164" fontId="2" fillId="5" borderId="1" xfId="0" applyNumberFormat="1" applyFont="1" applyFill="1" applyBorder="1" applyAlignment="1">
      <alignment horizontal="center" vertical="top" wrapText="1"/>
    </xf>
    <xf numFmtId="164" fontId="2" fillId="6" borderId="1" xfId="0" applyNumberFormat="1" applyFont="1" applyFill="1" applyBorder="1" applyAlignment="1">
      <alignment horizontal="center" vertical="top" wrapText="1"/>
    </xf>
    <xf numFmtId="164" fontId="2" fillId="4" borderId="1" xfId="0" applyNumberFormat="1" applyFont="1" applyFill="1" applyBorder="1" applyAlignment="1">
      <alignment horizontal="center" vertical="top" wrapText="1"/>
    </xf>
    <xf numFmtId="164" fontId="2" fillId="0" borderId="6" xfId="0" applyNumberFormat="1" applyFont="1" applyBorder="1" applyAlignment="1">
      <alignment horizontal="center" vertical="top" wrapText="1"/>
    </xf>
    <xf numFmtId="164" fontId="8" fillId="4" borderId="1" xfId="0" applyNumberFormat="1" applyFont="1" applyFill="1" applyBorder="1" applyAlignment="1">
      <alignment horizontal="center" vertical="top" wrapText="1"/>
    </xf>
    <xf numFmtId="164" fontId="8" fillId="3" borderId="11" xfId="0" applyNumberFormat="1" applyFont="1" applyFill="1" applyBorder="1" applyAlignment="1">
      <alignment horizontal="center" vertical="top" wrapText="1"/>
    </xf>
    <xf numFmtId="164" fontId="8" fillId="3" borderId="24" xfId="0" applyNumberFormat="1" applyFont="1" applyFill="1" applyBorder="1" applyAlignment="1">
      <alignment horizontal="center" vertical="top" wrapText="1"/>
    </xf>
    <xf numFmtId="164" fontId="8" fillId="3" borderId="41" xfId="0" applyNumberFormat="1" applyFont="1" applyFill="1" applyBorder="1" applyAlignment="1">
      <alignment horizontal="center" vertical="top" wrapText="1"/>
    </xf>
    <xf numFmtId="164" fontId="2" fillId="6" borderId="11" xfId="0" applyNumberFormat="1" applyFont="1" applyFill="1" applyBorder="1" applyAlignment="1">
      <alignment horizontal="center" vertical="top" wrapText="1"/>
    </xf>
    <xf numFmtId="164" fontId="2" fillId="3" borderId="24" xfId="0" applyNumberFormat="1" applyFont="1" applyFill="1" applyBorder="1" applyAlignment="1">
      <alignment horizontal="center" vertical="top" wrapText="1"/>
    </xf>
    <xf numFmtId="164" fontId="2" fillId="0" borderId="24" xfId="0" applyNumberFormat="1" applyFont="1" applyBorder="1" applyAlignment="1">
      <alignment horizontal="center" vertical="top" wrapText="1"/>
    </xf>
    <xf numFmtId="164" fontId="8" fillId="0" borderId="1" xfId="0" applyNumberFormat="1" applyFont="1" applyBorder="1" applyAlignment="1">
      <alignment vertical="top" wrapText="1"/>
    </xf>
    <xf numFmtId="164" fontId="8" fillId="3" borderId="6" xfId="0" applyNumberFormat="1" applyFont="1" applyFill="1" applyBorder="1" applyAlignment="1">
      <alignment vertical="top" wrapText="1"/>
    </xf>
    <xf numFmtId="164" fontId="2" fillId="3" borderId="1" xfId="0" applyNumberFormat="1" applyFont="1" applyFill="1" applyBorder="1" applyAlignment="1">
      <alignment horizontal="center" vertical="center" wrapText="1"/>
    </xf>
    <xf numFmtId="164" fontId="2" fillId="3" borderId="2" xfId="0" applyNumberFormat="1" applyFont="1" applyFill="1" applyBorder="1" applyAlignment="1">
      <alignment horizontal="center" vertical="top" wrapText="1"/>
    </xf>
    <xf numFmtId="164" fontId="2" fillId="3" borderId="11" xfId="0" applyNumberFormat="1" applyFont="1" applyFill="1" applyBorder="1" applyAlignment="1">
      <alignment horizontal="center" vertical="top" wrapText="1"/>
    </xf>
    <xf numFmtId="164" fontId="8" fillId="0" borderId="0" xfId="0" applyNumberFormat="1" applyFont="1"/>
    <xf numFmtId="165" fontId="22" fillId="0" borderId="0" xfId="0" applyNumberFormat="1" applyFont="1"/>
    <xf numFmtId="0" fontId="8" fillId="3" borderId="27" xfId="0" applyFont="1" applyFill="1" applyBorder="1" applyAlignment="1">
      <alignment vertical="top" wrapText="1"/>
    </xf>
    <xf numFmtId="0" fontId="8" fillId="3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vertical="top" wrapText="1"/>
    </xf>
    <xf numFmtId="0" fontId="8" fillId="3" borderId="1" xfId="0" applyFont="1" applyFill="1" applyBorder="1" applyAlignment="1">
      <alignment vertical="top" wrapText="1"/>
    </xf>
    <xf numFmtId="3" fontId="2" fillId="3" borderId="1" xfId="0" applyNumberFormat="1" applyFont="1" applyFill="1" applyBorder="1" applyAlignment="1">
      <alignment vertical="top" wrapText="1"/>
    </xf>
    <xf numFmtId="0" fontId="8" fillId="3" borderId="2" xfId="0" applyFont="1" applyFill="1" applyBorder="1" applyAlignment="1">
      <alignment vertical="top" wrapText="1"/>
    </xf>
    <xf numFmtId="0" fontId="8" fillId="3" borderId="9" xfId="0" applyFont="1" applyFill="1" applyBorder="1" applyAlignment="1">
      <alignment vertical="top" wrapText="1"/>
    </xf>
    <xf numFmtId="0" fontId="2" fillId="3" borderId="19" xfId="0" applyFont="1" applyFill="1" applyBorder="1" applyAlignment="1">
      <alignment vertical="top" wrapText="1"/>
    </xf>
    <xf numFmtId="0" fontId="8" fillId="3" borderId="3" xfId="0" applyFont="1" applyFill="1" applyBorder="1" applyAlignment="1">
      <alignment vertical="top" wrapText="1"/>
    </xf>
    <xf numFmtId="0" fontId="2" fillId="3" borderId="5" xfId="0" applyFont="1" applyFill="1" applyBorder="1" applyAlignment="1">
      <alignment vertical="top" wrapText="1"/>
    </xf>
    <xf numFmtId="0" fontId="8" fillId="3" borderId="5" xfId="0" applyFont="1" applyFill="1" applyBorder="1" applyAlignment="1">
      <alignment vertical="top" wrapText="1"/>
    </xf>
    <xf numFmtId="0" fontId="8" fillId="3" borderId="5" xfId="0" applyFont="1" applyFill="1" applyBorder="1" applyAlignment="1">
      <alignment vertical="top"/>
    </xf>
    <xf numFmtId="0" fontId="5" fillId="3" borderId="2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top" wrapText="1"/>
    </xf>
    <xf numFmtId="0" fontId="8" fillId="3" borderId="3" xfId="0" applyFont="1" applyFill="1" applyBorder="1" applyAlignment="1">
      <alignment horizontal="center" vertical="top" wrapText="1"/>
    </xf>
    <xf numFmtId="0" fontId="26" fillId="3" borderId="4" xfId="0" applyFont="1" applyFill="1" applyBorder="1" applyAlignment="1">
      <alignment horizontal="center" vertical="top" wrapText="1"/>
    </xf>
    <xf numFmtId="165" fontId="6" fillId="2" borderId="1" xfId="0" applyNumberFormat="1" applyFont="1" applyFill="1" applyBorder="1" applyAlignment="1">
      <alignment horizontal="center" vertical="center" wrapText="1"/>
    </xf>
    <xf numFmtId="165" fontId="6" fillId="4" borderId="1" xfId="0" applyNumberFormat="1" applyFont="1" applyFill="1" applyBorder="1" applyAlignment="1">
      <alignment horizontal="center" vertical="top" wrapText="1"/>
    </xf>
    <xf numFmtId="165" fontId="6" fillId="5" borderId="1" xfId="0" applyNumberFormat="1" applyFont="1" applyFill="1" applyBorder="1" applyAlignment="1">
      <alignment horizontal="center" vertical="top" wrapText="1"/>
    </xf>
    <xf numFmtId="165" fontId="2" fillId="3" borderId="1" xfId="0" applyNumberFormat="1" applyFont="1" applyFill="1" applyBorder="1" applyAlignment="1">
      <alignment horizontal="center" vertical="top" wrapText="1"/>
    </xf>
    <xf numFmtId="165" fontId="8" fillId="3" borderId="6" xfId="0" applyNumberFormat="1" applyFont="1" applyFill="1" applyBorder="1" applyAlignment="1">
      <alignment horizontal="center" vertical="top" wrapText="1"/>
    </xf>
    <xf numFmtId="165" fontId="8" fillId="3" borderId="7" xfId="0" applyNumberFormat="1" applyFont="1" applyFill="1" applyBorder="1" applyAlignment="1">
      <alignment wrapText="1"/>
    </xf>
    <xf numFmtId="165" fontId="8" fillId="3" borderId="7" xfId="0" applyNumberFormat="1" applyFont="1" applyFill="1" applyBorder="1" applyAlignment="1">
      <alignment horizontal="center" vertical="center" wrapText="1"/>
    </xf>
    <xf numFmtId="165" fontId="5" fillId="3" borderId="7" xfId="0" applyNumberFormat="1" applyFont="1" applyFill="1" applyBorder="1" applyAlignment="1">
      <alignment horizontal="center" vertical="top" wrapText="1"/>
    </xf>
    <xf numFmtId="165" fontId="6" fillId="6" borderId="43" xfId="0" applyNumberFormat="1" applyFont="1" applyFill="1" applyBorder="1" applyAlignment="1">
      <alignment horizontal="center" vertical="top" wrapText="1"/>
    </xf>
    <xf numFmtId="165" fontId="6" fillId="3" borderId="3" xfId="0" applyNumberFormat="1" applyFont="1" applyFill="1" applyBorder="1" applyAlignment="1">
      <alignment horizontal="center" vertical="top" wrapText="1"/>
    </xf>
    <xf numFmtId="165" fontId="6" fillId="6" borderId="6" xfId="0" applyNumberFormat="1" applyFont="1" applyFill="1" applyBorder="1" applyAlignment="1">
      <alignment horizontal="center" vertical="top" wrapText="1"/>
    </xf>
    <xf numFmtId="165" fontId="6" fillId="0" borderId="6" xfId="0" applyNumberFormat="1" applyFont="1" applyBorder="1" applyAlignment="1">
      <alignment horizontal="center" vertical="top" wrapText="1"/>
    </xf>
    <xf numFmtId="165" fontId="5" fillId="4" borderId="1" xfId="0" applyNumberFormat="1" applyFont="1" applyFill="1" applyBorder="1" applyAlignment="1">
      <alignment horizontal="center" vertical="top" wrapText="1"/>
    </xf>
    <xf numFmtId="165" fontId="5" fillId="3" borderId="1" xfId="0" applyNumberFormat="1" applyFont="1" applyFill="1" applyBorder="1" applyAlignment="1">
      <alignment horizontal="center" vertical="top" wrapText="1"/>
    </xf>
    <xf numFmtId="165" fontId="22" fillId="0" borderId="1" xfId="0" applyNumberFormat="1" applyFont="1" applyBorder="1" applyAlignment="1">
      <alignment horizontal="center" vertical="top" wrapText="1"/>
    </xf>
    <xf numFmtId="165" fontId="8" fillId="0" borderId="1" xfId="0" applyNumberFormat="1" applyFont="1" applyBorder="1" applyAlignment="1">
      <alignment horizontal="center" vertical="top" wrapText="1"/>
    </xf>
    <xf numFmtId="165" fontId="24" fillId="3" borderId="10" xfId="0" applyNumberFormat="1" applyFont="1" applyFill="1" applyBorder="1" applyAlignment="1">
      <alignment horizontal="center" vertical="top" wrapText="1"/>
    </xf>
    <xf numFmtId="165" fontId="5" fillId="0" borderId="1" xfId="0" applyNumberFormat="1" applyFont="1" applyBorder="1"/>
    <xf numFmtId="165" fontId="5" fillId="3" borderId="2" xfId="0" applyNumberFormat="1" applyFont="1" applyFill="1" applyBorder="1" applyAlignment="1">
      <alignment horizontal="center" vertical="top" wrapText="1"/>
    </xf>
    <xf numFmtId="165" fontId="5" fillId="0" borderId="36" xfId="0" applyNumberFormat="1" applyFont="1" applyBorder="1" applyAlignment="1">
      <alignment horizontal="center" vertical="top" wrapText="1"/>
    </xf>
    <xf numFmtId="165" fontId="6" fillId="6" borderId="11" xfId="0" applyNumberFormat="1" applyFont="1" applyFill="1" applyBorder="1" applyAlignment="1">
      <alignment horizontal="center" vertical="top" wrapText="1"/>
    </xf>
    <xf numFmtId="165" fontId="6" fillId="0" borderId="24" xfId="0" applyNumberFormat="1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vertical="top" wrapText="1"/>
    </xf>
    <xf numFmtId="165" fontId="5" fillId="0" borderId="6" xfId="0" applyNumberFormat="1" applyFont="1" applyBorder="1" applyAlignment="1">
      <alignment vertical="top" wrapText="1"/>
    </xf>
    <xf numFmtId="165" fontId="6" fillId="3" borderId="1" xfId="0" applyNumberFormat="1" applyFont="1" applyFill="1" applyBorder="1" applyAlignment="1">
      <alignment horizontal="center" vertical="center" wrapText="1"/>
    </xf>
    <xf numFmtId="165" fontId="6" fillId="3" borderId="2" xfId="0" applyNumberFormat="1" applyFont="1" applyFill="1" applyBorder="1" applyAlignment="1">
      <alignment horizontal="center" vertical="top" wrapText="1"/>
    </xf>
    <xf numFmtId="0" fontId="5" fillId="0" borderId="50" xfId="0" applyFont="1" applyBorder="1" applyAlignment="1">
      <alignment vertical="top" wrapText="1"/>
    </xf>
    <xf numFmtId="0" fontId="18" fillId="3" borderId="3" xfId="0" applyFont="1" applyFill="1" applyBorder="1" applyAlignment="1">
      <alignment vertical="top" wrapText="1"/>
    </xf>
    <xf numFmtId="0" fontId="5" fillId="3" borderId="21" xfId="0" applyFont="1" applyFill="1" applyBorder="1" applyAlignment="1">
      <alignment horizontal="justify" vertical="center" wrapText="1"/>
    </xf>
    <xf numFmtId="0" fontId="2" fillId="3" borderId="49" xfId="0" applyFont="1" applyFill="1" applyBorder="1" applyAlignment="1">
      <alignment vertical="top"/>
    </xf>
    <xf numFmtId="0" fontId="6" fillId="9" borderId="19" xfId="0" applyFont="1" applyFill="1" applyBorder="1" applyAlignment="1">
      <alignment vertical="top" wrapText="1"/>
    </xf>
    <xf numFmtId="0" fontId="5" fillId="9" borderId="11" xfId="0" applyFont="1" applyFill="1" applyBorder="1" applyAlignment="1">
      <alignment vertical="top" wrapText="1"/>
    </xf>
    <xf numFmtId="0" fontId="5" fillId="3" borderId="10" xfId="0" applyFont="1" applyFill="1" applyBorder="1" applyAlignment="1">
      <alignment vertical="top" wrapText="1"/>
    </xf>
    <xf numFmtId="165" fontId="8" fillId="3" borderId="10" xfId="0" applyNumberFormat="1" applyFont="1" applyFill="1" applyBorder="1" applyAlignment="1">
      <alignment horizontal="center" vertical="top" wrapText="1"/>
    </xf>
    <xf numFmtId="0" fontId="18" fillId="3" borderId="33" xfId="0" applyFont="1" applyFill="1" applyBorder="1" applyAlignment="1">
      <alignment vertical="top" wrapText="1"/>
    </xf>
    <xf numFmtId="164" fontId="18" fillId="3" borderId="6" xfId="0" applyNumberFormat="1" applyFont="1" applyFill="1" applyBorder="1" applyAlignment="1">
      <alignment horizontal="center" vertical="top" wrapText="1"/>
    </xf>
    <xf numFmtId="164" fontId="18" fillId="3" borderId="1" xfId="0" applyNumberFormat="1" applyFont="1" applyFill="1" applyBorder="1" applyAlignment="1">
      <alignment horizontal="center" vertical="top" wrapText="1"/>
    </xf>
    <xf numFmtId="165" fontId="18" fillId="3" borderId="1" xfId="0" applyNumberFormat="1" applyFont="1" applyFill="1" applyBorder="1" applyAlignment="1">
      <alignment horizontal="center" vertical="top" wrapText="1"/>
    </xf>
    <xf numFmtId="0" fontId="15" fillId="3" borderId="6" xfId="0" applyFont="1" applyFill="1" applyBorder="1" applyAlignment="1">
      <alignment horizontal="center" vertical="top" wrapText="1"/>
    </xf>
    <xf numFmtId="165" fontId="15" fillId="3" borderId="1" xfId="0" applyNumberFormat="1" applyFont="1" applyFill="1" applyBorder="1" applyAlignment="1">
      <alignment horizontal="center" vertical="top" wrapText="1"/>
    </xf>
    <xf numFmtId="0" fontId="18" fillId="3" borderId="48" xfId="0" applyFont="1" applyFill="1" applyBorder="1" applyAlignment="1">
      <alignment horizontal="left" vertical="top" wrapText="1"/>
    </xf>
    <xf numFmtId="0" fontId="15" fillId="3" borderId="7" xfId="0" applyFont="1" applyFill="1" applyBorder="1" applyAlignment="1">
      <alignment horizontal="center" vertical="top" wrapText="1"/>
    </xf>
    <xf numFmtId="0" fontId="15" fillId="3" borderId="3" xfId="0" applyFont="1" applyFill="1" applyBorder="1" applyAlignment="1">
      <alignment horizontal="center" vertical="top" wrapText="1"/>
    </xf>
    <xf numFmtId="0" fontId="18" fillId="3" borderId="32" xfId="0" applyFont="1" applyFill="1" applyBorder="1" applyAlignment="1">
      <alignment vertical="top" wrapText="1"/>
    </xf>
    <xf numFmtId="165" fontId="15" fillId="3" borderId="7" xfId="0" applyNumberFormat="1" applyFont="1" applyFill="1" applyBorder="1" applyAlignment="1">
      <alignment horizontal="center" vertical="top" wrapText="1"/>
    </xf>
    <xf numFmtId="165" fontId="15" fillId="3" borderId="10" xfId="0" applyNumberFormat="1" applyFont="1" applyFill="1" applyBorder="1" applyAlignment="1">
      <alignment horizontal="center" vertical="top" wrapText="1"/>
    </xf>
    <xf numFmtId="0" fontId="5" fillId="9" borderId="1" xfId="0" applyFont="1" applyFill="1" applyBorder="1" applyAlignment="1">
      <alignment horizontal="center" vertical="top" wrapText="1"/>
    </xf>
    <xf numFmtId="164" fontId="27" fillId="0" borderId="0" xfId="0" applyNumberFormat="1" applyFont="1"/>
    <xf numFmtId="0" fontId="27" fillId="0" borderId="0" xfId="0" applyFont="1"/>
    <xf numFmtId="0" fontId="16" fillId="2" borderId="1" xfId="0" applyNumberFormat="1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horizontal="left" vertical="top" wrapText="1"/>
    </xf>
    <xf numFmtId="0" fontId="5" fillId="3" borderId="4" xfId="0" applyFont="1" applyFill="1" applyBorder="1" applyAlignment="1">
      <alignment horizontal="left" vertical="top" wrapText="1"/>
    </xf>
    <xf numFmtId="0" fontId="5" fillId="3" borderId="3" xfId="0" applyFont="1" applyFill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0" fontId="24" fillId="3" borderId="2" xfId="0" applyFont="1" applyFill="1" applyBorder="1" applyAlignment="1">
      <alignment horizontal="center" vertical="top" wrapText="1"/>
    </xf>
    <xf numFmtId="0" fontId="24" fillId="3" borderId="4" xfId="0" applyFont="1" applyFill="1" applyBorder="1" applyAlignment="1">
      <alignment horizontal="center" vertical="top" wrapText="1"/>
    </xf>
    <xf numFmtId="0" fontId="24" fillId="3" borderId="3" xfId="0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21" fillId="3" borderId="12" xfId="0" applyFont="1" applyFill="1" applyBorder="1" applyAlignment="1">
      <alignment horizontal="center" vertical="top" wrapText="1"/>
    </xf>
    <xf numFmtId="0" fontId="8" fillId="3" borderId="4" xfId="0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26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3" borderId="21" xfId="0" applyFont="1" applyFill="1" applyBorder="1" applyAlignment="1">
      <alignment horizontal="left" vertical="top" wrapText="1"/>
    </xf>
    <xf numFmtId="0" fontId="5" fillId="3" borderId="26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center" vertical="top" wrapText="1"/>
    </xf>
    <xf numFmtId="0" fontId="5" fillId="3" borderId="3" xfId="0" applyFont="1" applyFill="1" applyBorder="1" applyAlignment="1">
      <alignment horizontal="center" vertical="top" wrapText="1"/>
    </xf>
    <xf numFmtId="0" fontId="5" fillId="3" borderId="19" xfId="0" applyFont="1" applyFill="1" applyBorder="1" applyAlignment="1">
      <alignment horizontal="left" vertical="top" wrapText="1"/>
    </xf>
    <xf numFmtId="0" fontId="5" fillId="3" borderId="11" xfId="0" applyFont="1" applyFill="1" applyBorder="1" applyAlignment="1">
      <alignment horizontal="left" vertical="top" wrapText="1"/>
    </xf>
    <xf numFmtId="0" fontId="15" fillId="3" borderId="10" xfId="0" applyFont="1" applyFill="1" applyBorder="1" applyAlignment="1">
      <alignment horizontal="center" vertical="top" wrapText="1"/>
    </xf>
    <xf numFmtId="0" fontId="15" fillId="3" borderId="21" xfId="0" applyFont="1" applyFill="1" applyBorder="1" applyAlignment="1">
      <alignment horizontal="center" vertical="top" wrapText="1"/>
    </xf>
    <xf numFmtId="3" fontId="5" fillId="3" borderId="12" xfId="0" applyNumberFormat="1" applyFont="1" applyFill="1" applyBorder="1" applyAlignment="1">
      <alignment horizontal="center" vertical="top" wrapText="1"/>
    </xf>
    <xf numFmtId="3" fontId="5" fillId="3" borderId="7" xfId="0" applyNumberFormat="1" applyFont="1" applyFill="1" applyBorder="1" applyAlignment="1">
      <alignment horizontal="center" vertical="top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top" wrapText="1"/>
    </xf>
    <xf numFmtId="0" fontId="17" fillId="3" borderId="3" xfId="0" applyFont="1" applyFill="1" applyBorder="1" applyAlignment="1">
      <alignment horizontal="left" vertical="top" wrapText="1"/>
    </xf>
    <xf numFmtId="3" fontId="5" fillId="3" borderId="2" xfId="0" applyNumberFormat="1" applyFont="1" applyFill="1" applyBorder="1" applyAlignment="1">
      <alignment horizontal="center" vertical="top" wrapText="1"/>
    </xf>
    <xf numFmtId="3" fontId="5" fillId="3" borderId="4" xfId="0" applyNumberFormat="1" applyFont="1" applyFill="1" applyBorder="1" applyAlignment="1">
      <alignment horizontal="center" vertical="top" wrapText="1"/>
    </xf>
    <xf numFmtId="3" fontId="5" fillId="3" borderId="3" xfId="0" applyNumberFormat="1" applyFont="1" applyFill="1" applyBorder="1" applyAlignment="1">
      <alignment horizontal="center" vertical="top" wrapText="1"/>
    </xf>
    <xf numFmtId="0" fontId="21" fillId="0" borderId="2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vertical="top" wrapText="1"/>
    </xf>
    <xf numFmtId="0" fontId="5" fillId="3" borderId="4" xfId="0" applyFont="1" applyFill="1" applyBorder="1" applyAlignment="1">
      <alignment vertical="top" wrapText="1"/>
    </xf>
    <xf numFmtId="3" fontId="5" fillId="3" borderId="10" xfId="0" applyNumberFormat="1" applyFont="1" applyFill="1" applyBorder="1" applyAlignment="1">
      <alignment horizontal="center" vertical="top" wrapText="1"/>
    </xf>
    <xf numFmtId="3" fontId="5" fillId="3" borderId="21" xfId="0" applyNumberFormat="1" applyFont="1" applyFill="1" applyBorder="1" applyAlignment="1">
      <alignment horizontal="center" vertical="top" wrapText="1"/>
    </xf>
    <xf numFmtId="3" fontId="5" fillId="3" borderId="19" xfId="0" applyNumberFormat="1" applyFont="1" applyFill="1" applyBorder="1" applyAlignment="1">
      <alignment horizontal="center" vertical="top" wrapText="1"/>
    </xf>
    <xf numFmtId="0" fontId="15" fillId="3" borderId="10" xfId="0" applyFont="1" applyFill="1" applyBorder="1" applyAlignment="1">
      <alignment horizontal="left" vertical="top" wrapText="1"/>
    </xf>
    <xf numFmtId="0" fontId="15" fillId="3" borderId="21" xfId="0" applyFont="1" applyFill="1" applyBorder="1" applyAlignment="1">
      <alignment horizontal="left" vertical="top" wrapText="1"/>
    </xf>
    <xf numFmtId="0" fontId="15" fillId="3" borderId="19" xfId="0" applyFont="1" applyFill="1" applyBorder="1" applyAlignment="1">
      <alignment horizontal="left" vertical="top" wrapText="1"/>
    </xf>
    <xf numFmtId="0" fontId="15" fillId="3" borderId="41" xfId="0" applyFont="1" applyFill="1" applyBorder="1" applyAlignment="1">
      <alignment horizontal="left" vertical="top" wrapText="1"/>
    </xf>
    <xf numFmtId="0" fontId="15" fillId="3" borderId="45" xfId="0" applyFont="1" applyFill="1" applyBorder="1" applyAlignment="1">
      <alignment horizontal="left" vertical="top" wrapText="1"/>
    </xf>
    <xf numFmtId="0" fontId="15" fillId="3" borderId="19" xfId="0" applyFont="1" applyFill="1" applyBorder="1" applyAlignment="1">
      <alignment horizontal="center" vertical="top" wrapText="1"/>
    </xf>
    <xf numFmtId="3" fontId="5" fillId="3" borderId="26" xfId="0" applyNumberFormat="1" applyFont="1" applyFill="1" applyBorder="1" applyAlignment="1">
      <alignment horizontal="center" vertical="top" wrapText="1"/>
    </xf>
    <xf numFmtId="3" fontId="5" fillId="3" borderId="8" xfId="0" applyNumberFormat="1" applyFont="1" applyFill="1" applyBorder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5" fillId="0" borderId="20" xfId="0" applyFont="1" applyBorder="1" applyAlignment="1">
      <alignment horizontal="left" vertical="top" wrapText="1"/>
    </xf>
    <xf numFmtId="0" fontId="5" fillId="0" borderId="2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top" wrapText="1"/>
    </xf>
    <xf numFmtId="49" fontId="5" fillId="3" borderId="4" xfId="0" applyNumberFormat="1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horizontal="center" vertical="top" wrapText="1"/>
    </xf>
    <xf numFmtId="0" fontId="5" fillId="3" borderId="8" xfId="0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3" borderId="10" xfId="0" applyFont="1" applyFill="1" applyBorder="1" applyAlignment="1">
      <alignment horizontal="center" vertical="top" wrapText="1"/>
    </xf>
    <xf numFmtId="0" fontId="5" fillId="3" borderId="19" xfId="0" applyFont="1" applyFill="1" applyBorder="1" applyAlignment="1">
      <alignment horizontal="center" vertical="top" wrapText="1"/>
    </xf>
    <xf numFmtId="0" fontId="5" fillId="3" borderId="1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 wrapText="1"/>
    </xf>
    <xf numFmtId="0" fontId="8" fillId="3" borderId="2" xfId="0" applyFont="1" applyFill="1" applyBorder="1" applyAlignment="1">
      <alignment horizontal="center" vertical="top" wrapText="1"/>
    </xf>
    <xf numFmtId="0" fontId="8" fillId="3" borderId="3" xfId="0" applyFont="1" applyFill="1" applyBorder="1" applyAlignment="1">
      <alignment horizontal="center" vertical="top" wrapText="1"/>
    </xf>
    <xf numFmtId="0" fontId="8" fillId="3" borderId="11" xfId="0" applyFont="1" applyFill="1" applyBorder="1" applyAlignment="1">
      <alignment horizontal="center" vertical="top" wrapText="1"/>
    </xf>
    <xf numFmtId="0" fontId="5" fillId="3" borderId="8" xfId="0" applyFont="1" applyFill="1" applyBorder="1" applyAlignment="1">
      <alignment horizontal="left" vertical="top" wrapText="1"/>
    </xf>
    <xf numFmtId="0" fontId="6" fillId="3" borderId="2" xfId="0" applyFont="1" applyFill="1" applyBorder="1" applyAlignment="1">
      <alignment horizontal="center" vertical="top" wrapText="1"/>
    </xf>
    <xf numFmtId="0" fontId="6" fillId="3" borderId="4" xfId="0" applyFont="1" applyFill="1" applyBorder="1" applyAlignment="1">
      <alignment horizontal="center" vertical="top" wrapText="1"/>
    </xf>
    <xf numFmtId="0" fontId="6" fillId="3" borderId="3" xfId="0" applyFont="1" applyFill="1" applyBorder="1" applyAlignment="1">
      <alignment horizontal="center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15" xfId="0" applyFont="1" applyBorder="1" applyAlignment="1">
      <alignment horizontal="left" vertical="top" wrapText="1"/>
    </xf>
    <xf numFmtId="0" fontId="5" fillId="0" borderId="14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left" vertical="top" wrapText="1"/>
    </xf>
    <xf numFmtId="0" fontId="5" fillId="3" borderId="31" xfId="0" applyFont="1" applyFill="1" applyBorder="1" applyAlignment="1">
      <alignment horizontal="center" vertical="top" wrapText="1"/>
    </xf>
    <xf numFmtId="0" fontId="21" fillId="3" borderId="10" xfId="0" applyFont="1" applyFill="1" applyBorder="1" applyAlignment="1">
      <alignment horizontal="center" vertical="top" wrapText="1"/>
    </xf>
    <xf numFmtId="0" fontId="21" fillId="3" borderId="19" xfId="0" applyFont="1" applyFill="1" applyBorder="1" applyAlignment="1">
      <alignment horizontal="center" vertical="top" wrapText="1"/>
    </xf>
    <xf numFmtId="0" fontId="15" fillId="0" borderId="11" xfId="0" applyFont="1" applyBorder="1" applyAlignment="1">
      <alignment horizontal="left" vertical="top" wrapText="1"/>
    </xf>
    <xf numFmtId="0" fontId="5" fillId="3" borderId="16" xfId="0" applyFont="1" applyFill="1" applyBorder="1" applyAlignment="1">
      <alignment horizontal="left" vertical="top" wrapText="1"/>
    </xf>
    <xf numFmtId="0" fontId="5" fillId="3" borderId="17" xfId="0" applyFont="1" applyFill="1" applyBorder="1" applyAlignment="1">
      <alignment horizontal="left" vertical="top" wrapText="1"/>
    </xf>
    <xf numFmtId="0" fontId="5" fillId="3" borderId="18" xfId="0" applyFont="1" applyFill="1" applyBorder="1" applyAlignment="1">
      <alignment horizontal="left" vertical="top" wrapText="1"/>
    </xf>
    <xf numFmtId="0" fontId="19" fillId="0" borderId="0" xfId="0" applyFont="1" applyAlignment="1">
      <alignment horizontal="right" vertical="top" wrapText="1"/>
    </xf>
    <xf numFmtId="0" fontId="21" fillId="3" borderId="20" xfId="0" applyFont="1" applyFill="1" applyBorder="1" applyAlignment="1">
      <alignment horizontal="center" vertical="top" wrapText="1"/>
    </xf>
    <xf numFmtId="0" fontId="5" fillId="3" borderId="21" xfId="0" applyFont="1" applyFill="1" applyBorder="1" applyAlignment="1">
      <alignment horizontal="center" vertical="top" wrapText="1"/>
    </xf>
    <xf numFmtId="0" fontId="5" fillId="3" borderId="20" xfId="0" applyFont="1" applyFill="1" applyBorder="1" applyAlignment="1">
      <alignment horizontal="center" vertical="top" wrapText="1"/>
    </xf>
    <xf numFmtId="0" fontId="5" fillId="3" borderId="22" xfId="0" applyFont="1" applyFill="1" applyBorder="1" applyAlignment="1">
      <alignment horizontal="center" vertical="top" wrapText="1"/>
    </xf>
    <xf numFmtId="0" fontId="15" fillId="3" borderId="27" xfId="0" applyFont="1" applyFill="1" applyBorder="1" applyAlignment="1">
      <alignment horizontal="left" vertical="top" wrapText="1"/>
    </xf>
    <xf numFmtId="0" fontId="7" fillId="0" borderId="0" xfId="0" applyFont="1" applyAlignment="1">
      <alignment horizontal="center" vertical="center" wrapText="1"/>
    </xf>
    <xf numFmtId="0" fontId="21" fillId="3" borderId="2" xfId="0" applyFont="1" applyFill="1" applyBorder="1" applyAlignment="1">
      <alignment horizontal="center" vertical="top" wrapText="1"/>
    </xf>
    <xf numFmtId="0" fontId="26" fillId="3" borderId="4" xfId="0" applyFont="1" applyFill="1" applyBorder="1" applyAlignment="1">
      <alignment horizontal="center" vertical="top" wrapText="1"/>
    </xf>
    <xf numFmtId="0" fontId="10" fillId="5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Light16"/>
  <colors>
    <mruColors>
      <color rgb="FFFFCCFF"/>
      <color rgb="FFCCFFCC"/>
      <color rgb="FF8E47C4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Snieguolė Kačerauskaitė" id="{5719A8D7-2A26-4DC1-803F-0DF3190DFBCC}" userId="S::snieguole.kacerauskaite@klaipeda.lt::ba3a49cd-56ed-4528-ad74-a68f31cbcfb7" providerId="AD"/>
</personList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66" dT="2024-12-10T11:22:02.38" personId="{5719A8D7-2A26-4DC1-803F-0DF3190DFBCC}" id="{47198A0F-C842-481D-A2C4-F305628C1DD2}">
    <text>Udovickij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9125D-579F-4A47-AB90-A5D8AADB0019}">
  <sheetPr>
    <pageSetUpPr fitToPage="1"/>
  </sheetPr>
  <dimension ref="A1:S247"/>
  <sheetViews>
    <sheetView tabSelected="1" zoomScaleNormal="100" zoomScaleSheetLayoutView="50" workbookViewId="0">
      <selection activeCell="J52" sqref="J52"/>
    </sheetView>
  </sheetViews>
  <sheetFormatPr defaultColWidth="9.33203125" defaultRowHeight="13.2" x14ac:dyDescent="0.25"/>
  <cols>
    <col min="1" max="1" width="2.5546875" style="27" customWidth="1"/>
    <col min="2" max="2" width="17.6640625" style="27" customWidth="1"/>
    <col min="3" max="3" width="44.6640625" style="28" customWidth="1"/>
    <col min="4" max="4" width="14.6640625" style="27" customWidth="1"/>
    <col min="5" max="5" width="14.6640625" style="230" customWidth="1"/>
    <col min="6" max="6" width="14.6640625" style="27" customWidth="1"/>
    <col min="7" max="8" width="14.6640625" style="227" customWidth="1"/>
    <col min="9" max="9" width="15.6640625" style="27" customWidth="1"/>
    <col min="10" max="16384" width="9.33203125" style="27"/>
  </cols>
  <sheetData>
    <row r="1" spans="2:9" ht="15.6" customHeight="1" x14ac:dyDescent="0.25">
      <c r="D1" s="103"/>
      <c r="E1" s="416" t="s">
        <v>0</v>
      </c>
      <c r="F1" s="416"/>
      <c r="G1" s="416"/>
      <c r="H1" s="416"/>
      <c r="I1" s="416"/>
    </row>
    <row r="2" spans="2:9" ht="15.45" customHeight="1" x14ac:dyDescent="0.25"/>
    <row r="3" spans="2:9" ht="39.6" customHeight="1" x14ac:dyDescent="0.25">
      <c r="B3" s="422" t="s">
        <v>1</v>
      </c>
      <c r="C3" s="422"/>
      <c r="D3" s="422"/>
      <c r="E3" s="422"/>
      <c r="F3" s="422"/>
      <c r="G3" s="422"/>
      <c r="H3" s="422"/>
      <c r="I3" s="422"/>
    </row>
    <row r="4" spans="2:9" ht="55.5" customHeight="1" x14ac:dyDescent="0.25">
      <c r="B4" s="49" t="s">
        <v>2</v>
      </c>
      <c r="C4" s="49" t="s">
        <v>3</v>
      </c>
      <c r="D4" s="49" t="s">
        <v>4</v>
      </c>
      <c r="E4" s="231" t="s">
        <v>5</v>
      </c>
      <c r="F4" s="104" t="s">
        <v>6</v>
      </c>
      <c r="G4" s="283" t="s">
        <v>7</v>
      </c>
      <c r="H4" s="283" t="s">
        <v>8</v>
      </c>
      <c r="I4" s="49" t="s">
        <v>9</v>
      </c>
    </row>
    <row r="5" spans="2:9" x14ac:dyDescent="0.25">
      <c r="B5" s="50">
        <v>1</v>
      </c>
      <c r="C5" s="51">
        <v>2</v>
      </c>
      <c r="D5" s="50">
        <v>3</v>
      </c>
      <c r="E5" s="232">
        <v>4</v>
      </c>
      <c r="F5" s="51">
        <v>5</v>
      </c>
      <c r="G5" s="332">
        <v>6</v>
      </c>
      <c r="H5" s="332">
        <v>7</v>
      </c>
      <c r="I5" s="50">
        <v>8</v>
      </c>
    </row>
    <row r="6" spans="2:9" ht="29.7" customHeight="1" x14ac:dyDescent="0.25">
      <c r="B6" s="5" t="s">
        <v>10</v>
      </c>
      <c r="C6" s="5" t="s">
        <v>11</v>
      </c>
      <c r="D6" s="52"/>
      <c r="E6" s="233"/>
      <c r="F6" s="53"/>
      <c r="G6" s="284"/>
      <c r="H6" s="284"/>
      <c r="I6" s="53"/>
    </row>
    <row r="7" spans="2:9" ht="28.5" customHeight="1" x14ac:dyDescent="0.25">
      <c r="B7" s="6" t="s">
        <v>12</v>
      </c>
      <c r="C7" s="8" t="s">
        <v>13</v>
      </c>
      <c r="D7" s="54"/>
      <c r="E7" s="234"/>
      <c r="F7" s="55"/>
      <c r="G7" s="285"/>
      <c r="H7" s="285"/>
      <c r="I7" s="55"/>
    </row>
    <row r="8" spans="2:9" ht="31.5" customHeight="1" x14ac:dyDescent="0.25">
      <c r="B8" s="340" t="s">
        <v>14</v>
      </c>
      <c r="C8" s="269" t="s">
        <v>15</v>
      </c>
      <c r="D8" s="423" t="s">
        <v>16</v>
      </c>
      <c r="E8" s="235"/>
      <c r="F8" s="235"/>
      <c r="G8" s="286"/>
      <c r="H8" s="286"/>
      <c r="I8" s="35" t="s">
        <v>17</v>
      </c>
    </row>
    <row r="9" spans="2:9" ht="31.5" customHeight="1" x14ac:dyDescent="0.25">
      <c r="B9" s="341"/>
      <c r="C9" s="270" t="s">
        <v>18</v>
      </c>
      <c r="D9" s="424"/>
      <c r="E9" s="127">
        <v>281.89999999999998</v>
      </c>
      <c r="F9" s="127">
        <f>8140.1-2140.1-967.1</f>
        <v>5032.8999999999996</v>
      </c>
      <c r="G9" s="124">
        <f>13365.6-7956-5409.6</f>
        <v>0</v>
      </c>
      <c r="H9" s="124">
        <f>2140.1-2140.1</f>
        <v>0</v>
      </c>
      <c r="I9" s="35"/>
    </row>
    <row r="10" spans="2:9" ht="16.5" customHeight="1" x14ac:dyDescent="0.25">
      <c r="B10" s="341"/>
      <c r="C10" s="270" t="s">
        <v>19</v>
      </c>
      <c r="D10" s="424"/>
      <c r="E10" s="127">
        <f>500+663.6</f>
        <v>1163.5999999999999</v>
      </c>
      <c r="F10" s="127">
        <v>967.1</v>
      </c>
      <c r="G10" s="124">
        <v>5409.6</v>
      </c>
      <c r="H10" s="124"/>
      <c r="I10" s="35"/>
    </row>
    <row r="11" spans="2:9" ht="16.5" customHeight="1" x14ac:dyDescent="0.25">
      <c r="B11" s="133"/>
      <c r="C11" s="272" t="s">
        <v>20</v>
      </c>
      <c r="D11" s="282"/>
      <c r="E11" s="127"/>
      <c r="F11" s="127"/>
      <c r="G11" s="124">
        <v>7956</v>
      </c>
      <c r="H11" s="124">
        <v>2140.1</v>
      </c>
      <c r="I11" s="35"/>
    </row>
    <row r="12" spans="2:9" ht="18.600000000000001" customHeight="1" x14ac:dyDescent="0.25">
      <c r="B12" s="39" t="s">
        <v>21</v>
      </c>
      <c r="C12" s="271" t="s">
        <v>22</v>
      </c>
      <c r="D12" s="337" t="s">
        <v>23</v>
      </c>
      <c r="E12" s="127"/>
      <c r="F12" s="127"/>
      <c r="G12" s="124"/>
      <c r="H12" s="124"/>
      <c r="I12" s="35" t="s">
        <v>24</v>
      </c>
    </row>
    <row r="13" spans="2:9" ht="29.25" customHeight="1" x14ac:dyDescent="0.25">
      <c r="B13" s="40"/>
      <c r="C13" s="270" t="s">
        <v>18</v>
      </c>
      <c r="D13" s="338"/>
      <c r="E13" s="127">
        <v>47.7</v>
      </c>
      <c r="F13" s="268">
        <f>361.5-169.5</f>
        <v>192</v>
      </c>
      <c r="G13" s="287">
        <f>1072.6-500.5-257</f>
        <v>315.09999999999991</v>
      </c>
      <c r="H13" s="287">
        <v>715.1</v>
      </c>
      <c r="I13" s="35"/>
    </row>
    <row r="14" spans="2:9" ht="20.25" customHeight="1" x14ac:dyDescent="0.25">
      <c r="B14" s="40" t="s">
        <v>25</v>
      </c>
      <c r="C14" s="270" t="s">
        <v>19</v>
      </c>
      <c r="D14" s="338"/>
      <c r="E14" s="127"/>
      <c r="F14" s="281"/>
      <c r="G14" s="238"/>
      <c r="H14" s="288"/>
      <c r="I14" s="35"/>
    </row>
    <row r="15" spans="2:9" ht="20.25" customHeight="1" x14ac:dyDescent="0.25">
      <c r="B15" s="40"/>
      <c r="C15" s="273" t="s">
        <v>20</v>
      </c>
      <c r="D15" s="338"/>
      <c r="E15" s="127"/>
      <c r="F15" s="281"/>
      <c r="G15" s="238">
        <v>257</v>
      </c>
      <c r="H15" s="288"/>
      <c r="I15" s="35"/>
    </row>
    <row r="16" spans="2:9" ht="17.25" customHeight="1" x14ac:dyDescent="0.25">
      <c r="B16" s="40"/>
      <c r="C16" s="267" t="s">
        <v>26</v>
      </c>
      <c r="D16" s="339"/>
      <c r="E16" s="127"/>
      <c r="F16" s="281">
        <f>704.6-422.7</f>
        <v>281.90000000000003</v>
      </c>
      <c r="G16" s="238">
        <f>2113.6-886.3</f>
        <v>1227.3</v>
      </c>
      <c r="H16" s="289">
        <v>1409.1</v>
      </c>
      <c r="I16" s="35"/>
    </row>
    <row r="17" spans="2:10" ht="27.75" customHeight="1" x14ac:dyDescent="0.25">
      <c r="B17" s="340"/>
      <c r="C17" s="269" t="s">
        <v>27</v>
      </c>
      <c r="D17" s="398" t="s">
        <v>28</v>
      </c>
      <c r="E17" s="127"/>
      <c r="F17" s="127"/>
      <c r="G17" s="124"/>
      <c r="H17" s="124"/>
      <c r="I17" s="35" t="s">
        <v>29</v>
      </c>
    </row>
    <row r="18" spans="2:10" ht="36.75" customHeight="1" x14ac:dyDescent="0.25">
      <c r="B18" s="341"/>
      <c r="C18" s="270" t="s">
        <v>18</v>
      </c>
      <c r="D18" s="343"/>
      <c r="E18" s="127">
        <f>184.5+1.1+3.4</f>
        <v>189</v>
      </c>
      <c r="F18" s="127"/>
      <c r="G18" s="124"/>
      <c r="H18" s="124"/>
      <c r="I18" s="35"/>
    </row>
    <row r="19" spans="2:10" ht="17.25" customHeight="1" x14ac:dyDescent="0.25">
      <c r="B19" s="333"/>
      <c r="C19" s="269" t="s">
        <v>30</v>
      </c>
      <c r="D19" s="398" t="s">
        <v>31</v>
      </c>
      <c r="E19" s="127"/>
      <c r="F19" s="127"/>
      <c r="G19" s="124"/>
      <c r="H19" s="124"/>
      <c r="I19" s="35" t="s">
        <v>29</v>
      </c>
    </row>
    <row r="20" spans="2:10" ht="29.25" customHeight="1" x14ac:dyDescent="0.25">
      <c r="B20" s="334"/>
      <c r="C20" s="270" t="s">
        <v>18</v>
      </c>
      <c r="D20" s="343"/>
      <c r="E20" s="124">
        <f>20.1-3.1</f>
        <v>17</v>
      </c>
      <c r="F20" s="268"/>
      <c r="G20" s="124"/>
      <c r="H20" s="124"/>
      <c r="I20" s="35"/>
    </row>
    <row r="21" spans="2:10" ht="17.25" customHeight="1" x14ac:dyDescent="0.25">
      <c r="B21" s="364"/>
      <c r="C21" s="270" t="s">
        <v>19</v>
      </c>
      <c r="D21" s="399"/>
      <c r="E21" s="268">
        <f>18.6-12.4</f>
        <v>6.2000000000000011</v>
      </c>
      <c r="F21" s="268"/>
      <c r="G21" s="124"/>
      <c r="H21" s="124"/>
      <c r="I21" s="35"/>
    </row>
    <row r="22" spans="2:10" ht="42.6" customHeight="1" x14ac:dyDescent="0.25">
      <c r="B22" s="333"/>
      <c r="C22" s="269" t="s">
        <v>32</v>
      </c>
      <c r="D22" s="398" t="s">
        <v>31</v>
      </c>
      <c r="E22" s="125" t="s">
        <v>33</v>
      </c>
      <c r="F22" s="125"/>
      <c r="G22" s="125"/>
      <c r="H22" s="125"/>
      <c r="I22" s="35" t="s">
        <v>29</v>
      </c>
    </row>
    <row r="23" spans="2:10" ht="18" customHeight="1" x14ac:dyDescent="0.25">
      <c r="B23" s="334"/>
      <c r="C23" s="272" t="s">
        <v>20</v>
      </c>
      <c r="D23" s="343"/>
      <c r="E23" s="237">
        <f>1000+53.4</f>
        <v>1053.4000000000001</v>
      </c>
      <c r="F23" s="237"/>
      <c r="G23" s="125"/>
      <c r="H23" s="125"/>
      <c r="I23" s="35"/>
    </row>
    <row r="24" spans="2:10" ht="18.75" customHeight="1" x14ac:dyDescent="0.25">
      <c r="B24" s="335"/>
      <c r="C24" s="273" t="s">
        <v>19</v>
      </c>
      <c r="D24" s="399"/>
      <c r="E24" s="125">
        <v>378.5</v>
      </c>
      <c r="F24" s="125"/>
      <c r="G24" s="125"/>
      <c r="H24" s="125"/>
      <c r="I24" s="35"/>
    </row>
    <row r="25" spans="2:10" ht="30.75" customHeight="1" x14ac:dyDescent="0.25">
      <c r="B25" s="363"/>
      <c r="C25" s="274" t="s">
        <v>34</v>
      </c>
      <c r="D25" s="342" t="s">
        <v>28</v>
      </c>
      <c r="E25" s="125" t="s">
        <v>33</v>
      </c>
      <c r="F25" s="125"/>
      <c r="G25" s="125"/>
      <c r="H25" s="125"/>
      <c r="I25" s="35" t="s">
        <v>35</v>
      </c>
    </row>
    <row r="26" spans="2:10" ht="28.5" customHeight="1" x14ac:dyDescent="0.25">
      <c r="B26" s="341"/>
      <c r="C26" s="275" t="s">
        <v>18</v>
      </c>
      <c r="D26" s="343"/>
      <c r="E26" s="125">
        <v>18.2</v>
      </c>
      <c r="F26" s="125"/>
      <c r="G26" s="125"/>
      <c r="H26" s="125"/>
      <c r="I26" s="35"/>
    </row>
    <row r="27" spans="2:10" ht="20.25" customHeight="1" x14ac:dyDescent="0.25">
      <c r="B27" s="333" t="s">
        <v>36</v>
      </c>
      <c r="C27" s="276" t="s">
        <v>37</v>
      </c>
      <c r="D27" s="400" t="s">
        <v>38</v>
      </c>
      <c r="E27" s="238" t="s">
        <v>33</v>
      </c>
      <c r="F27" s="125"/>
      <c r="G27" s="125"/>
      <c r="H27" s="125"/>
      <c r="I27" s="35" t="s">
        <v>39</v>
      </c>
    </row>
    <row r="28" spans="2:10" ht="28.5" customHeight="1" x14ac:dyDescent="0.25">
      <c r="B28" s="334"/>
      <c r="C28" s="277" t="s">
        <v>18</v>
      </c>
      <c r="D28" s="400"/>
      <c r="E28" s="238" t="s">
        <v>33</v>
      </c>
      <c r="F28" s="281">
        <v>912.4</v>
      </c>
      <c r="G28" s="238">
        <f>1138.9-78</f>
        <v>1060.9000000000001</v>
      </c>
      <c r="H28" s="238">
        <v>587</v>
      </c>
      <c r="I28" s="35"/>
      <c r="J28" s="227"/>
    </row>
    <row r="29" spans="2:10" ht="19.5" customHeight="1" x14ac:dyDescent="0.25">
      <c r="B29" s="334"/>
      <c r="C29" s="273" t="s">
        <v>20</v>
      </c>
      <c r="D29" s="400"/>
      <c r="E29" s="238"/>
      <c r="F29" s="281"/>
      <c r="G29" s="238">
        <v>78</v>
      </c>
      <c r="H29" s="238"/>
      <c r="I29" s="35"/>
      <c r="J29" s="227"/>
    </row>
    <row r="30" spans="2:10" ht="17.25" customHeight="1" x14ac:dyDescent="0.25">
      <c r="B30" s="334"/>
      <c r="C30" s="278" t="s">
        <v>26</v>
      </c>
      <c r="D30" s="400"/>
      <c r="E30" s="238" t="s">
        <v>33</v>
      </c>
      <c r="F30" s="281">
        <v>59.5</v>
      </c>
      <c r="G30" s="238">
        <v>2677.5</v>
      </c>
      <c r="H30" s="238">
        <v>3213</v>
      </c>
      <c r="I30" s="35"/>
      <c r="J30" s="227"/>
    </row>
    <row r="31" spans="2:10" ht="17.25" customHeight="1" x14ac:dyDescent="0.25">
      <c r="B31" s="39" t="s">
        <v>40</v>
      </c>
      <c r="C31" s="36" t="s">
        <v>41</v>
      </c>
      <c r="D31" s="350" t="s">
        <v>31</v>
      </c>
      <c r="E31" s="125" t="s">
        <v>33</v>
      </c>
      <c r="F31" s="61"/>
      <c r="G31" s="61"/>
      <c r="H31" s="61"/>
      <c r="I31" s="35" t="s">
        <v>42</v>
      </c>
      <c r="J31" s="266"/>
    </row>
    <row r="32" spans="2:10" ht="17.399999999999999" customHeight="1" x14ac:dyDescent="0.25">
      <c r="B32" s="40"/>
      <c r="C32" s="60" t="s">
        <v>19</v>
      </c>
      <c r="D32" s="351"/>
      <c r="E32" s="125">
        <f>1000-570</f>
        <v>430</v>
      </c>
      <c r="F32" s="125">
        <v>823.9</v>
      </c>
      <c r="G32" s="61"/>
      <c r="H32" s="61"/>
      <c r="I32" s="35"/>
    </row>
    <row r="33" spans="2:9" ht="17.399999999999999" customHeight="1" x14ac:dyDescent="0.25">
      <c r="B33" s="39" t="s">
        <v>43</v>
      </c>
      <c r="C33" s="312" t="s">
        <v>44</v>
      </c>
      <c r="D33" s="351"/>
      <c r="E33" s="125"/>
      <c r="F33" s="125"/>
      <c r="G33" s="61"/>
      <c r="H33" s="61"/>
      <c r="I33" s="35"/>
    </row>
    <row r="34" spans="2:9" ht="32.25" customHeight="1" x14ac:dyDescent="0.25">
      <c r="B34" s="40"/>
      <c r="C34" s="275" t="s">
        <v>18</v>
      </c>
      <c r="D34" s="351"/>
      <c r="E34" s="125"/>
      <c r="F34" s="105"/>
      <c r="G34" s="125">
        <f>40+3</f>
        <v>43</v>
      </c>
      <c r="H34" s="61">
        <f>500+4</f>
        <v>504</v>
      </c>
      <c r="I34" s="35"/>
    </row>
    <row r="35" spans="2:9" ht="18.75" customHeight="1" x14ac:dyDescent="0.25">
      <c r="B35" s="333" t="s">
        <v>43</v>
      </c>
      <c r="C35" s="14" t="s">
        <v>45</v>
      </c>
      <c r="D35" s="351"/>
      <c r="E35" s="125" t="s">
        <v>33</v>
      </c>
      <c r="F35" s="61"/>
      <c r="G35" s="61"/>
      <c r="H35" s="61"/>
      <c r="I35" s="35"/>
    </row>
    <row r="36" spans="2:9" ht="27.75" customHeight="1" x14ac:dyDescent="0.25">
      <c r="B36" s="334"/>
      <c r="C36" s="25" t="s">
        <v>18</v>
      </c>
      <c r="D36" s="351"/>
      <c r="E36" s="124">
        <v>200</v>
      </c>
      <c r="F36" s="124">
        <v>200</v>
      </c>
      <c r="G36" s="124">
        <v>200</v>
      </c>
      <c r="H36" s="124">
        <v>200</v>
      </c>
      <c r="I36" s="35"/>
    </row>
    <row r="37" spans="2:9" ht="15.75" customHeight="1" x14ac:dyDescent="0.25">
      <c r="B37" s="333" t="s">
        <v>46</v>
      </c>
      <c r="C37" s="14" t="s">
        <v>47</v>
      </c>
      <c r="D37" s="351"/>
      <c r="E37" s="125" t="s">
        <v>33</v>
      </c>
      <c r="F37" s="61"/>
      <c r="G37" s="61"/>
      <c r="H37" s="61"/>
      <c r="I37" s="35"/>
    </row>
    <row r="38" spans="2:9" ht="27.75" customHeight="1" x14ac:dyDescent="0.25">
      <c r="B38" s="334"/>
      <c r="C38" s="25" t="s">
        <v>18</v>
      </c>
      <c r="D38" s="351"/>
      <c r="E38" s="125">
        <f>317.5+110-59.9-0.1-248</f>
        <v>119.5</v>
      </c>
      <c r="F38" s="125">
        <v>501.5</v>
      </c>
      <c r="G38" s="125">
        <v>101.5</v>
      </c>
      <c r="H38" s="125">
        <v>101.5</v>
      </c>
      <c r="I38" s="35"/>
    </row>
    <row r="39" spans="2:9" ht="30.75" customHeight="1" x14ac:dyDescent="0.25">
      <c r="B39" s="333" t="s">
        <v>48</v>
      </c>
      <c r="C39" s="14" t="s">
        <v>49</v>
      </c>
      <c r="D39" s="351"/>
      <c r="E39" s="125" t="s">
        <v>33</v>
      </c>
      <c r="F39" s="61"/>
      <c r="G39" s="61"/>
      <c r="H39" s="61"/>
      <c r="I39" s="35"/>
    </row>
    <row r="40" spans="2:9" ht="29.4" customHeight="1" x14ac:dyDescent="0.25">
      <c r="B40" s="334"/>
      <c r="C40" s="25" t="s">
        <v>18</v>
      </c>
      <c r="D40" s="351"/>
      <c r="E40" s="125">
        <f>174.2+20</f>
        <v>194.2</v>
      </c>
      <c r="F40" s="125">
        <f>232.6+25</f>
        <v>257.60000000000002</v>
      </c>
      <c r="G40" s="125">
        <f>219.7+152.5</f>
        <v>372.2</v>
      </c>
      <c r="H40" s="125">
        <f>221+82.5</f>
        <v>303.5</v>
      </c>
      <c r="I40" s="35"/>
    </row>
    <row r="41" spans="2:9" ht="19.5" customHeight="1" x14ac:dyDescent="0.25">
      <c r="B41" s="371" t="s">
        <v>50</v>
      </c>
      <c r="C41" s="36" t="s">
        <v>51</v>
      </c>
      <c r="D41" s="351"/>
      <c r="E41" s="125" t="s">
        <v>33</v>
      </c>
      <c r="F41" s="61"/>
      <c r="G41" s="61"/>
      <c r="H41" s="61"/>
      <c r="I41" s="35"/>
    </row>
    <row r="42" spans="2:9" ht="27" customHeight="1" x14ac:dyDescent="0.25">
      <c r="B42" s="372"/>
      <c r="C42" s="62" t="s">
        <v>18</v>
      </c>
      <c r="D42" s="352"/>
      <c r="E42" s="125">
        <f>89+121.6</f>
        <v>210.6</v>
      </c>
      <c r="F42" s="125">
        <v>248.2</v>
      </c>
      <c r="G42" s="125">
        <v>247.9</v>
      </c>
      <c r="H42" s="125">
        <v>249</v>
      </c>
      <c r="I42" s="35"/>
    </row>
    <row r="43" spans="2:9" ht="31.5" customHeight="1" x14ac:dyDescent="0.25">
      <c r="B43" s="333" t="s">
        <v>52</v>
      </c>
      <c r="C43" s="14" t="s">
        <v>53</v>
      </c>
      <c r="D43" s="344" t="s">
        <v>54</v>
      </c>
      <c r="E43" s="125" t="s">
        <v>33</v>
      </c>
      <c r="F43" s="45"/>
      <c r="G43" s="45"/>
      <c r="H43" s="45"/>
      <c r="I43" s="56" t="s">
        <v>55</v>
      </c>
    </row>
    <row r="44" spans="2:9" ht="29.25" customHeight="1" x14ac:dyDescent="0.25">
      <c r="B44" s="334"/>
      <c r="C44" s="17" t="s">
        <v>18</v>
      </c>
      <c r="D44" s="393"/>
      <c r="E44" s="125">
        <f>336.9+1101.5-499.9-500-126</f>
        <v>312.50000000000011</v>
      </c>
      <c r="F44" s="61">
        <f>1419.7-105.3+8.8+0.9</f>
        <v>1324.1000000000001</v>
      </c>
      <c r="G44" s="61">
        <f>461.7+45.1+13.2+1.3</f>
        <v>521.29999999999995</v>
      </c>
      <c r="H44" s="61">
        <f>465.3+60.2+13.2+1.3</f>
        <v>540</v>
      </c>
      <c r="I44" s="35"/>
    </row>
    <row r="45" spans="2:9" ht="30.75" customHeight="1" x14ac:dyDescent="0.25">
      <c r="B45" s="340"/>
      <c r="C45" s="14" t="s">
        <v>56</v>
      </c>
      <c r="D45" s="365" t="s">
        <v>38</v>
      </c>
      <c r="E45" s="125" t="s">
        <v>33</v>
      </c>
      <c r="F45" s="61"/>
      <c r="G45" s="61"/>
      <c r="H45" s="61"/>
      <c r="I45" s="35" t="s">
        <v>57</v>
      </c>
    </row>
    <row r="46" spans="2:9" ht="29.25" customHeight="1" x14ac:dyDescent="0.25">
      <c r="B46" s="348"/>
      <c r="C46" s="17" t="s">
        <v>18</v>
      </c>
      <c r="D46" s="366"/>
      <c r="E46" s="125">
        <f>140.9-3.4+2.1</f>
        <v>139.6</v>
      </c>
      <c r="F46" s="61"/>
      <c r="G46" s="61"/>
      <c r="H46" s="61"/>
      <c r="I46" s="35"/>
    </row>
    <row r="47" spans="2:9" ht="19.5" customHeight="1" x14ac:dyDescent="0.25">
      <c r="B47" s="333" t="s">
        <v>58</v>
      </c>
      <c r="C47" s="10" t="s">
        <v>59</v>
      </c>
      <c r="D47" s="38"/>
      <c r="E47" s="236" t="s">
        <v>33</v>
      </c>
      <c r="F47" s="61"/>
      <c r="G47" s="61"/>
      <c r="H47" s="61"/>
      <c r="I47" s="35" t="s">
        <v>60</v>
      </c>
    </row>
    <row r="48" spans="2:9" ht="57.6" customHeight="1" x14ac:dyDescent="0.25">
      <c r="B48" s="334"/>
      <c r="C48" s="25" t="s">
        <v>18</v>
      </c>
      <c r="D48" s="44" t="s">
        <v>61</v>
      </c>
      <c r="E48" s="125">
        <f>100-4.5-45.5</f>
        <v>50</v>
      </c>
      <c r="F48" s="125">
        <v>100</v>
      </c>
      <c r="G48" s="129"/>
      <c r="H48" s="129"/>
      <c r="I48" s="35"/>
    </row>
    <row r="49" spans="2:9" ht="34.200000000000003" customHeight="1" x14ac:dyDescent="0.25">
      <c r="B49" s="334"/>
      <c r="C49" s="17" t="s">
        <v>18</v>
      </c>
      <c r="D49" s="357" t="s">
        <v>62</v>
      </c>
      <c r="E49" s="125">
        <v>100</v>
      </c>
      <c r="F49" s="61">
        <v>100</v>
      </c>
      <c r="G49" s="61"/>
      <c r="H49" s="61"/>
      <c r="I49" s="35"/>
    </row>
    <row r="50" spans="2:9" ht="18.75" customHeight="1" x14ac:dyDescent="0.25">
      <c r="B50" s="414"/>
      <c r="C50" s="41" t="s">
        <v>19</v>
      </c>
      <c r="D50" s="358"/>
      <c r="E50" s="125"/>
      <c r="F50" s="61">
        <v>21.3</v>
      </c>
      <c r="G50" s="61"/>
      <c r="H50" s="61"/>
      <c r="I50" s="35"/>
    </row>
    <row r="51" spans="2:9" ht="29.25" customHeight="1" x14ac:dyDescent="0.25">
      <c r="B51" s="414"/>
      <c r="C51" s="41" t="s">
        <v>18</v>
      </c>
      <c r="D51" s="357" t="s">
        <v>63</v>
      </c>
      <c r="E51" s="125">
        <v>4.5</v>
      </c>
      <c r="F51" s="61"/>
      <c r="G51" s="61"/>
      <c r="H51" s="61"/>
      <c r="I51" s="35"/>
    </row>
    <row r="52" spans="2:9" ht="18.75" customHeight="1" x14ac:dyDescent="0.25">
      <c r="B52" s="415"/>
      <c r="C52" s="41" t="s">
        <v>19</v>
      </c>
      <c r="D52" s="358"/>
      <c r="E52" s="125">
        <v>1.7</v>
      </c>
      <c r="F52" s="61"/>
      <c r="G52" s="61"/>
      <c r="H52" s="61"/>
      <c r="I52" s="35"/>
    </row>
    <row r="53" spans="2:9" ht="29.25" customHeight="1" x14ac:dyDescent="0.25">
      <c r="B53" s="333" t="s">
        <v>64</v>
      </c>
      <c r="C53" s="32" t="s">
        <v>65</v>
      </c>
      <c r="D53" s="365" t="s">
        <v>31</v>
      </c>
      <c r="E53" s="125" t="s">
        <v>33</v>
      </c>
      <c r="F53" s="61"/>
      <c r="G53" s="61"/>
      <c r="H53" s="61"/>
      <c r="I53" s="35" t="s">
        <v>29</v>
      </c>
    </row>
    <row r="54" spans="2:9" ht="29.25" customHeight="1" x14ac:dyDescent="0.25">
      <c r="B54" s="401"/>
      <c r="C54" s="17" t="s">
        <v>18</v>
      </c>
      <c r="D54" s="366"/>
      <c r="E54" s="125">
        <f>599.5+65+9</f>
        <v>673.5</v>
      </c>
      <c r="F54" s="125">
        <f>934.5-286.5+20.4-340.5</f>
        <v>327.9</v>
      </c>
      <c r="G54" s="125">
        <f>594.5+286.5+202.5-43</f>
        <v>1040.5</v>
      </c>
      <c r="H54" s="125">
        <f>1014.5-504</f>
        <v>510.5</v>
      </c>
      <c r="I54" s="35"/>
    </row>
    <row r="55" spans="2:9" ht="17.25" customHeight="1" x14ac:dyDescent="0.25">
      <c r="B55" s="340" t="s">
        <v>66</v>
      </c>
      <c r="C55" s="14" t="s">
        <v>67</v>
      </c>
      <c r="D55" s="29"/>
      <c r="E55" s="125" t="s">
        <v>33</v>
      </c>
      <c r="F55" s="61"/>
      <c r="G55" s="61"/>
      <c r="H55" s="61"/>
      <c r="I55" s="25"/>
    </row>
    <row r="56" spans="2:9" ht="29.25" customHeight="1" x14ac:dyDescent="0.25">
      <c r="B56" s="341"/>
      <c r="C56" s="25" t="s">
        <v>18</v>
      </c>
      <c r="D56" s="29"/>
      <c r="E56" s="237">
        <f>2312.3-315.5+100</f>
        <v>2096.8000000000002</v>
      </c>
      <c r="F56" s="59">
        <f>2110+3.7</f>
        <v>2113.6999999999998</v>
      </c>
      <c r="G56" s="238">
        <f>2319.5+2.6</f>
        <v>2322.1</v>
      </c>
      <c r="H56" s="238">
        <f>2332.5+3</f>
        <v>2335.5</v>
      </c>
      <c r="I56" s="25"/>
    </row>
    <row r="57" spans="2:9" ht="16.5" customHeight="1" x14ac:dyDescent="0.25">
      <c r="B57" s="341"/>
      <c r="C57" s="25" t="s">
        <v>68</v>
      </c>
      <c r="D57" s="29"/>
      <c r="E57" s="125">
        <f>15.9+7.2</f>
        <v>23.1</v>
      </c>
      <c r="F57" s="76">
        <v>19.8</v>
      </c>
      <c r="G57" s="290">
        <v>34.799999999999997</v>
      </c>
      <c r="H57" s="290">
        <v>34.799999999999997</v>
      </c>
      <c r="I57" s="56"/>
    </row>
    <row r="58" spans="2:9" ht="16.5" customHeight="1" x14ac:dyDescent="0.25">
      <c r="B58" s="341"/>
      <c r="C58" s="25" t="s">
        <v>19</v>
      </c>
      <c r="D58" s="29"/>
      <c r="E58" s="125">
        <v>12.3</v>
      </c>
      <c r="F58" s="125">
        <v>18.3</v>
      </c>
      <c r="G58" s="61"/>
      <c r="H58" s="61"/>
      <c r="I58" s="56"/>
    </row>
    <row r="59" spans="2:9" ht="28.5" customHeight="1" x14ac:dyDescent="0.25">
      <c r="B59" s="340" t="s">
        <v>69</v>
      </c>
      <c r="C59" s="13" t="s">
        <v>70</v>
      </c>
      <c r="D59" s="373" t="s">
        <v>31</v>
      </c>
      <c r="E59" s="238" t="s">
        <v>33</v>
      </c>
      <c r="F59" s="61"/>
      <c r="G59" s="61"/>
      <c r="H59" s="61"/>
      <c r="I59" s="56"/>
    </row>
    <row r="60" spans="2:9" ht="29.1" customHeight="1" x14ac:dyDescent="0.25">
      <c r="B60" s="341"/>
      <c r="C60" s="89" t="s">
        <v>18</v>
      </c>
      <c r="D60" s="374"/>
      <c r="E60" s="238">
        <f>414.9-399.9-3.3</f>
        <v>11.7</v>
      </c>
      <c r="F60" s="61"/>
      <c r="G60" s="61"/>
      <c r="H60" s="61"/>
      <c r="I60" s="56"/>
    </row>
    <row r="61" spans="2:9" ht="20.25" customHeight="1" x14ac:dyDescent="0.25">
      <c r="B61" s="341"/>
      <c r="C61" s="148" t="s">
        <v>19</v>
      </c>
      <c r="D61" s="375"/>
      <c r="E61" s="238">
        <f>16.6-2.6</f>
        <v>14.000000000000002</v>
      </c>
      <c r="F61" s="125">
        <f>7.3+3.5</f>
        <v>10.8</v>
      </c>
      <c r="G61" s="61"/>
      <c r="H61" s="61"/>
      <c r="I61" s="35"/>
    </row>
    <row r="62" spans="2:9" ht="21" customHeight="1" x14ac:dyDescent="0.25">
      <c r="B62" s="347" t="s">
        <v>71</v>
      </c>
      <c r="C62" s="66" t="s">
        <v>72</v>
      </c>
      <c r="D62" s="382" t="s">
        <v>31</v>
      </c>
      <c r="E62" s="125" t="s">
        <v>33</v>
      </c>
      <c r="F62" s="61"/>
      <c r="G62" s="61"/>
      <c r="H62" s="61"/>
      <c r="I62" s="280"/>
    </row>
    <row r="63" spans="2:9" ht="29.1" customHeight="1" x14ac:dyDescent="0.25">
      <c r="B63" s="341"/>
      <c r="C63" s="17" t="s">
        <v>18</v>
      </c>
      <c r="D63" s="366"/>
      <c r="E63" s="125">
        <f>363-100-263</f>
        <v>0</v>
      </c>
      <c r="F63" s="59">
        <f>1128.8-242</f>
        <v>886.8</v>
      </c>
      <c r="G63" s="290">
        <f>2125-2125+121</f>
        <v>121</v>
      </c>
      <c r="H63" s="290">
        <f>3870-3870+121</f>
        <v>121</v>
      </c>
      <c r="I63" s="35"/>
    </row>
    <row r="64" spans="2:9" ht="45.6" customHeight="1" x14ac:dyDescent="0.25">
      <c r="B64" s="340" t="s">
        <v>73</v>
      </c>
      <c r="C64" s="14" t="s">
        <v>74</v>
      </c>
      <c r="D64" s="366"/>
      <c r="E64" s="125" t="s">
        <v>33</v>
      </c>
      <c r="F64" s="61"/>
      <c r="G64" s="61"/>
      <c r="H64" s="61"/>
      <c r="I64" s="35"/>
    </row>
    <row r="65" spans="1:19" ht="28.5" customHeight="1" x14ac:dyDescent="0.25">
      <c r="B65" s="341"/>
      <c r="C65" s="25" t="s">
        <v>18</v>
      </c>
      <c r="D65" s="366"/>
      <c r="E65" s="125">
        <f>5080+898.5</f>
        <v>5978.5</v>
      </c>
      <c r="F65" s="125">
        <v>6197.4</v>
      </c>
      <c r="G65" s="125">
        <v>7104.5</v>
      </c>
      <c r="H65" s="125">
        <v>8147.7</v>
      </c>
      <c r="I65" s="35"/>
    </row>
    <row r="66" spans="1:19" ht="18.75" customHeight="1" x14ac:dyDescent="0.25">
      <c r="B66" s="348"/>
      <c r="C66" s="25" t="s">
        <v>75</v>
      </c>
      <c r="D66" s="366"/>
      <c r="E66" s="125"/>
      <c r="F66" s="125">
        <v>46.8</v>
      </c>
      <c r="G66" s="125"/>
      <c r="H66" s="125"/>
      <c r="I66" s="35"/>
    </row>
    <row r="67" spans="1:19" ht="28.5" customHeight="1" x14ac:dyDescent="0.25">
      <c r="B67" s="340" t="s">
        <v>76</v>
      </c>
      <c r="C67" s="14" t="s">
        <v>77</v>
      </c>
      <c r="D67" s="366"/>
      <c r="E67" s="125" t="s">
        <v>33</v>
      </c>
      <c r="F67" s="61"/>
      <c r="G67" s="61"/>
      <c r="H67" s="61"/>
      <c r="I67" s="35" t="s">
        <v>78</v>
      </c>
    </row>
    <row r="68" spans="1:19" ht="27.75" customHeight="1" x14ac:dyDescent="0.25">
      <c r="B68" s="341"/>
      <c r="C68" s="25" t="s">
        <v>18</v>
      </c>
      <c r="D68" s="366"/>
      <c r="E68" s="125">
        <f>262.1+331.5-35.9-144</f>
        <v>413.70000000000005</v>
      </c>
      <c r="F68" s="125">
        <f>998.5-132</f>
        <v>866.5</v>
      </c>
      <c r="G68" s="125">
        <v>615</v>
      </c>
      <c r="H68" s="125">
        <v>497.2</v>
      </c>
      <c r="I68" s="35"/>
    </row>
    <row r="69" spans="1:19" ht="18" customHeight="1" x14ac:dyDescent="0.25">
      <c r="B69" s="341"/>
      <c r="C69" s="25" t="s">
        <v>68</v>
      </c>
      <c r="D69" s="366"/>
      <c r="E69" s="125">
        <v>2</v>
      </c>
      <c r="F69" s="125">
        <v>2.5</v>
      </c>
      <c r="G69" s="125">
        <v>2.5</v>
      </c>
      <c r="H69" s="125">
        <v>2.5</v>
      </c>
      <c r="I69" s="35"/>
    </row>
    <row r="70" spans="1:19" ht="39.6" customHeight="1" x14ac:dyDescent="0.25">
      <c r="B70" s="340" t="s">
        <v>79</v>
      </c>
      <c r="C70" s="14" t="s">
        <v>80</v>
      </c>
      <c r="D70" s="366"/>
      <c r="E70" s="125" t="s">
        <v>33</v>
      </c>
      <c r="F70" s="61"/>
      <c r="G70" s="61"/>
      <c r="H70" s="61"/>
      <c r="I70" s="35"/>
    </row>
    <row r="71" spans="1:19" ht="29.25" customHeight="1" x14ac:dyDescent="0.25">
      <c r="B71" s="341"/>
      <c r="C71" s="25" t="s">
        <v>18</v>
      </c>
      <c r="D71" s="366"/>
      <c r="E71" s="125">
        <f>156+4.3-20</f>
        <v>140.30000000000001</v>
      </c>
      <c r="F71" s="125">
        <v>175</v>
      </c>
      <c r="G71" s="125">
        <v>145</v>
      </c>
      <c r="H71" s="125">
        <v>145</v>
      </c>
      <c r="I71" s="35"/>
    </row>
    <row r="72" spans="1:19" ht="30.6" customHeight="1" x14ac:dyDescent="0.25">
      <c r="B72" s="340" t="s">
        <v>81</v>
      </c>
      <c r="C72" s="14" t="s">
        <v>82</v>
      </c>
      <c r="D72" s="366"/>
      <c r="E72" s="125" t="s">
        <v>33</v>
      </c>
      <c r="F72" s="61"/>
      <c r="G72" s="61"/>
      <c r="H72" s="61"/>
      <c r="I72" s="56"/>
    </row>
    <row r="73" spans="1:19" ht="29.25" customHeight="1" x14ac:dyDescent="0.25">
      <c r="B73" s="341"/>
      <c r="C73" s="25" t="s">
        <v>18</v>
      </c>
      <c r="D73" s="366"/>
      <c r="E73" s="125">
        <v>100</v>
      </c>
      <c r="F73" s="125">
        <f>193-52</f>
        <v>141</v>
      </c>
      <c r="G73" s="125">
        <v>100</v>
      </c>
      <c r="H73" s="125">
        <v>100</v>
      </c>
      <c r="I73" s="56"/>
    </row>
    <row r="74" spans="1:19" ht="31.2" customHeight="1" x14ac:dyDescent="0.25">
      <c r="B74" s="340"/>
      <c r="C74" s="10" t="s">
        <v>83</v>
      </c>
      <c r="D74" s="366"/>
      <c r="E74" s="125" t="s">
        <v>33</v>
      </c>
      <c r="F74" s="45"/>
      <c r="G74" s="45"/>
      <c r="H74" s="45"/>
      <c r="I74" s="56"/>
    </row>
    <row r="75" spans="1:19" ht="29.25" customHeight="1" x14ac:dyDescent="0.25">
      <c r="B75" s="408"/>
      <c r="C75" s="63" t="s">
        <v>18</v>
      </c>
      <c r="D75" s="383"/>
      <c r="E75" s="131">
        <f>249.2-32.8</f>
        <v>216.39999999999998</v>
      </c>
      <c r="F75" s="64"/>
      <c r="G75" s="64"/>
      <c r="H75" s="64"/>
      <c r="I75" s="65"/>
    </row>
    <row r="76" spans="1:19" ht="24" customHeight="1" x14ac:dyDescent="0.25">
      <c r="B76" s="341" t="s">
        <v>84</v>
      </c>
      <c r="C76" s="66" t="s">
        <v>85</v>
      </c>
      <c r="D76" s="366" t="s">
        <v>54</v>
      </c>
      <c r="E76" s="125" t="s">
        <v>33</v>
      </c>
      <c r="F76" s="45"/>
      <c r="G76" s="45"/>
      <c r="H76" s="45"/>
      <c r="I76" s="67"/>
    </row>
    <row r="77" spans="1:19" ht="50.4" customHeight="1" x14ac:dyDescent="0.25">
      <c r="B77" s="341"/>
      <c r="C77" s="17" t="s">
        <v>18</v>
      </c>
      <c r="D77" s="367"/>
      <c r="E77" s="125">
        <f>47.9-9.2</f>
        <v>38.700000000000003</v>
      </c>
      <c r="F77" s="61">
        <v>48.9</v>
      </c>
      <c r="G77" s="61">
        <v>48.9</v>
      </c>
      <c r="H77" s="61">
        <v>48.9</v>
      </c>
      <c r="I77" s="56"/>
      <c r="S77" s="27" t="s">
        <v>86</v>
      </c>
    </row>
    <row r="78" spans="1:19" ht="27.75" customHeight="1" x14ac:dyDescent="0.25">
      <c r="B78" s="340"/>
      <c r="C78" s="14" t="s">
        <v>87</v>
      </c>
      <c r="D78" s="368" t="s">
        <v>62</v>
      </c>
      <c r="E78" s="125" t="s">
        <v>33</v>
      </c>
      <c r="F78" s="45"/>
      <c r="G78" s="45"/>
      <c r="H78" s="45"/>
      <c r="I78" s="123"/>
    </row>
    <row r="79" spans="1:19" ht="33" customHeight="1" x14ac:dyDescent="0.25">
      <c r="B79" s="341"/>
      <c r="C79" s="33" t="s">
        <v>18</v>
      </c>
      <c r="D79" s="369"/>
      <c r="E79" s="239">
        <f>368.9-326.4+30-2.1</f>
        <v>70.400000000000006</v>
      </c>
      <c r="F79" s="142"/>
      <c r="G79" s="142"/>
      <c r="H79" s="142"/>
      <c r="I79" s="143"/>
    </row>
    <row r="80" spans="1:19" ht="18" customHeight="1" x14ac:dyDescent="0.25">
      <c r="A80" s="48"/>
      <c r="B80" s="379" t="s">
        <v>88</v>
      </c>
      <c r="C80" s="153" t="s">
        <v>89</v>
      </c>
      <c r="D80" s="355" t="s">
        <v>31</v>
      </c>
      <c r="E80" s="240"/>
      <c r="F80" s="154"/>
      <c r="G80" s="154"/>
      <c r="H80" s="154"/>
      <c r="I80" s="155" t="s">
        <v>29</v>
      </c>
    </row>
    <row r="81" spans="1:9" ht="30" customHeight="1" x14ac:dyDescent="0.25">
      <c r="A81" s="48"/>
      <c r="B81" s="421"/>
      <c r="C81" s="156" t="s">
        <v>18</v>
      </c>
      <c r="D81" s="381"/>
      <c r="E81" s="241"/>
      <c r="F81" s="157">
        <v>43</v>
      </c>
      <c r="G81" s="157">
        <f>504-504</f>
        <v>0</v>
      </c>
      <c r="H81" s="158"/>
      <c r="I81" s="159"/>
    </row>
    <row r="82" spans="1:9" ht="18" customHeight="1" x14ac:dyDescent="0.25">
      <c r="B82" s="379" t="s">
        <v>90</v>
      </c>
      <c r="C82" s="313" t="s">
        <v>91</v>
      </c>
      <c r="D82" s="410" t="s">
        <v>92</v>
      </c>
      <c r="E82" s="242"/>
      <c r="F82" s="160"/>
      <c r="G82" s="160"/>
      <c r="H82" s="160"/>
      <c r="I82" s="161"/>
    </row>
    <row r="83" spans="1:9" ht="38.25" customHeight="1" x14ac:dyDescent="0.25">
      <c r="B83" s="380"/>
      <c r="C83" s="314" t="s">
        <v>18</v>
      </c>
      <c r="D83" s="411"/>
      <c r="E83" s="243"/>
      <c r="F83" s="224">
        <v>10</v>
      </c>
      <c r="G83" s="224">
        <v>40</v>
      </c>
      <c r="H83" s="224"/>
      <c r="I83" s="225"/>
    </row>
    <row r="84" spans="1:9" ht="30" customHeight="1" x14ac:dyDescent="0.25">
      <c r="B84" s="379" t="s">
        <v>93</v>
      </c>
      <c r="C84" s="47" t="s">
        <v>94</v>
      </c>
      <c r="D84" s="355" t="s">
        <v>31</v>
      </c>
      <c r="E84" s="242"/>
      <c r="F84" s="160"/>
      <c r="G84" s="160"/>
      <c r="H84" s="160"/>
      <c r="I84" s="161"/>
    </row>
    <row r="85" spans="1:9" ht="30" customHeight="1" x14ac:dyDescent="0.25">
      <c r="B85" s="380"/>
      <c r="C85" s="315" t="s">
        <v>18</v>
      </c>
      <c r="D85" s="381"/>
      <c r="E85" s="316"/>
      <c r="F85" s="167">
        <f>0+449.8</f>
        <v>449.8</v>
      </c>
      <c r="G85" s="167"/>
      <c r="H85" s="167"/>
      <c r="I85" s="151"/>
    </row>
    <row r="86" spans="1:9" ht="19.5" customHeight="1" x14ac:dyDescent="0.25">
      <c r="B86" s="162"/>
      <c r="C86" s="163" t="s">
        <v>95</v>
      </c>
      <c r="D86" s="164"/>
      <c r="E86" s="244">
        <f>+E88+E89+E90+E91</f>
        <v>14709.5</v>
      </c>
      <c r="F86" s="165">
        <f>+F88+F89+F90+F91</f>
        <v>21992.400000000001</v>
      </c>
      <c r="G86" s="291">
        <f t="shared" ref="G86:H86" si="0">+G88+G89+G90+G91</f>
        <v>28136.799999999999</v>
      </c>
      <c r="H86" s="291">
        <f t="shared" si="0"/>
        <v>17283.3</v>
      </c>
      <c r="I86" s="166"/>
    </row>
    <row r="87" spans="1:9" ht="17.25" customHeight="1" x14ac:dyDescent="0.25">
      <c r="B87" s="370"/>
      <c r="C87" s="66" t="s">
        <v>96</v>
      </c>
      <c r="D87" s="168"/>
      <c r="E87" s="245"/>
      <c r="F87" s="169"/>
      <c r="G87" s="292"/>
      <c r="H87" s="292"/>
      <c r="I87" s="152"/>
    </row>
    <row r="88" spans="1:9" ht="27.75" customHeight="1" x14ac:dyDescent="0.25">
      <c r="B88" s="370"/>
      <c r="C88" s="10" t="s">
        <v>97</v>
      </c>
      <c r="D88" s="72"/>
      <c r="E88" s="246">
        <f>SUMIF($C8:$C85,$C13,E8:E85)</f>
        <v>11624.7</v>
      </c>
      <c r="F88" s="22">
        <f>SUMIF($C8:$C85,$C13,F8:F85)</f>
        <v>20128.7</v>
      </c>
      <c r="G88" s="12">
        <f>SUMIF($C8:$C85,$C13,G8:G85)</f>
        <v>14398.9</v>
      </c>
      <c r="H88" s="12">
        <f>SUMIF($C8:$C85,$C13,H8:H85)</f>
        <v>15105.9</v>
      </c>
      <c r="I88" s="11"/>
    </row>
    <row r="89" spans="1:9" ht="15" customHeight="1" x14ac:dyDescent="0.25">
      <c r="B89" s="370"/>
      <c r="C89" s="14" t="s">
        <v>98</v>
      </c>
      <c r="D89" s="72"/>
      <c r="E89" s="246">
        <f>SUMIF($C8:$C85,$C57,E8:E85)</f>
        <v>25.1</v>
      </c>
      <c r="F89" s="22">
        <f>SUMIF($C8:$C85,$C57,F8:F85)</f>
        <v>22.3</v>
      </c>
      <c r="G89" s="12">
        <f>SUMIF($C8:$C85,$C57,G8:G85)</f>
        <v>37.299999999999997</v>
      </c>
      <c r="H89" s="12">
        <f>SUMIF($C8:$C85,$C57,H8:H85)</f>
        <v>37.299999999999997</v>
      </c>
      <c r="I89" s="11"/>
    </row>
    <row r="90" spans="1:9" ht="16.5" customHeight="1" x14ac:dyDescent="0.25">
      <c r="B90" s="370"/>
      <c r="C90" s="10" t="s">
        <v>99</v>
      </c>
      <c r="D90" s="72"/>
      <c r="E90" s="246">
        <f>SUMIF($C8:$C85,$C10,E8:E85)</f>
        <v>2006.3</v>
      </c>
      <c r="F90" s="22">
        <f>SUMIF($C8:$C85,$C10,F8:F85)</f>
        <v>1841.3999999999999</v>
      </c>
      <c r="G90" s="12">
        <f>SUMIF($C8:$C85,$C10,G8:G85)</f>
        <v>5409.6</v>
      </c>
      <c r="H90" s="12">
        <f>SUMIF($C8:$C85,$C10,H8:H85)</f>
        <v>0</v>
      </c>
      <c r="I90" s="22"/>
    </row>
    <row r="91" spans="1:9" ht="15.75" customHeight="1" x14ac:dyDescent="0.25">
      <c r="B91" s="362"/>
      <c r="C91" s="10" t="s">
        <v>100</v>
      </c>
      <c r="D91" s="73"/>
      <c r="E91" s="246">
        <f>SUMIF($C8:$C85,$C23,E8:E85)</f>
        <v>1053.4000000000001</v>
      </c>
      <c r="F91" s="22">
        <f>SUMIF($C8:$C85,$C23,F8:F85)</f>
        <v>0</v>
      </c>
      <c r="G91" s="12">
        <f>SUMIF($C8:$C85,$C23,G8:G85)</f>
        <v>8291</v>
      </c>
      <c r="H91" s="12">
        <f>SUMIF($C8:$C85,$C23,H8:H85)</f>
        <v>2140.1</v>
      </c>
      <c r="I91" s="56"/>
    </row>
    <row r="92" spans="1:9" ht="17.25" customHeight="1" x14ac:dyDescent="0.25">
      <c r="B92" s="144"/>
      <c r="C92" s="190" t="s">
        <v>101</v>
      </c>
      <c r="D92" s="147"/>
      <c r="E92" s="247">
        <f>SUM(E94)</f>
        <v>0</v>
      </c>
      <c r="F92" s="79">
        <f>SUM(F94)+F95</f>
        <v>388.20000000000005</v>
      </c>
      <c r="G92" s="293">
        <f t="shared" ref="G92:H92" si="1">SUM(G94)+G95</f>
        <v>3904.8</v>
      </c>
      <c r="H92" s="293">
        <f t="shared" si="1"/>
        <v>4622.1000000000004</v>
      </c>
      <c r="I92" s="70"/>
    </row>
    <row r="93" spans="1:9" s="145" customFormat="1" ht="17.25" customHeight="1" x14ac:dyDescent="0.25">
      <c r="B93" s="188"/>
      <c r="C93" s="191" t="s">
        <v>102</v>
      </c>
      <c r="D93" s="146"/>
      <c r="E93" s="248"/>
      <c r="F93" s="21"/>
      <c r="G93" s="4"/>
      <c r="H93" s="4"/>
      <c r="I93" s="7"/>
    </row>
    <row r="94" spans="1:9" ht="15.75" customHeight="1" x14ac:dyDescent="0.25">
      <c r="B94" s="189"/>
      <c r="C94" s="197" t="s">
        <v>103</v>
      </c>
      <c r="D94" s="73"/>
      <c r="E94" s="246">
        <f>SUMIF($C9:$C85,$C30,E9:E85)</f>
        <v>0</v>
      </c>
      <c r="F94" s="22">
        <f>SUMIF($C9:$C85,$C30,F9:F85)</f>
        <v>341.40000000000003</v>
      </c>
      <c r="G94" s="12">
        <f>SUMIF($C9:$C85,$C30,G9:G85)</f>
        <v>3904.8</v>
      </c>
      <c r="H94" s="12">
        <f>SUMIF($C9:$C85,$C30,H9:I85)</f>
        <v>4622.1000000000004</v>
      </c>
      <c r="I94" s="56"/>
    </row>
    <row r="95" spans="1:9" ht="15.75" customHeight="1" x14ac:dyDescent="0.25">
      <c r="B95" s="170"/>
      <c r="C95" s="14" t="s">
        <v>104</v>
      </c>
      <c r="D95" s="73"/>
      <c r="E95" s="246">
        <f>SUMIF($C9:$C85,$C66,E9:E85)</f>
        <v>0</v>
      </c>
      <c r="F95" s="22">
        <f>SUMIF($C9:$C85,$C66,F9:F85)</f>
        <v>46.8</v>
      </c>
      <c r="G95" s="12">
        <f>SUMIF($C9:$C85,$C66,G9:G85)</f>
        <v>0</v>
      </c>
      <c r="H95" s="12">
        <f>SUMIF($C9:$C85,$C66,H9:H85)</f>
        <v>0</v>
      </c>
      <c r="I95" s="56"/>
    </row>
    <row r="96" spans="1:9" ht="30.6" customHeight="1" x14ac:dyDescent="0.25">
      <c r="B96" s="187" t="s">
        <v>105</v>
      </c>
      <c r="C96" s="8" t="s">
        <v>106</v>
      </c>
      <c r="D96" s="74"/>
      <c r="E96" s="249"/>
      <c r="F96" s="75"/>
      <c r="G96" s="285"/>
      <c r="H96" s="285"/>
      <c r="I96" s="55"/>
    </row>
    <row r="97" spans="2:9" ht="31.2" customHeight="1" x14ac:dyDescent="0.25">
      <c r="B97" s="412" t="s">
        <v>107</v>
      </c>
      <c r="C97" s="177" t="s">
        <v>108</v>
      </c>
      <c r="D97" s="391" t="s">
        <v>31</v>
      </c>
      <c r="E97" s="246"/>
      <c r="F97" s="22"/>
      <c r="G97" s="12"/>
      <c r="H97" s="12"/>
      <c r="I97" s="56" t="s">
        <v>109</v>
      </c>
    </row>
    <row r="98" spans="2:9" ht="28.5" customHeight="1" x14ac:dyDescent="0.25">
      <c r="B98" s="412"/>
      <c r="C98" s="309" t="s">
        <v>18</v>
      </c>
      <c r="D98" s="351"/>
      <c r="E98" s="127">
        <f>3400+121.2+165.3</f>
        <v>3686.5</v>
      </c>
      <c r="F98" s="127">
        <v>4034.3</v>
      </c>
      <c r="G98" s="124">
        <f>4357.1-3553.4</f>
        <v>803.70000000000027</v>
      </c>
      <c r="H98" s="124">
        <v>4705.6000000000004</v>
      </c>
      <c r="I98" s="17"/>
    </row>
    <row r="99" spans="2:9" ht="23.25" customHeight="1" x14ac:dyDescent="0.25">
      <c r="B99" s="412"/>
      <c r="C99" s="270" t="s">
        <v>19</v>
      </c>
      <c r="D99" s="409"/>
      <c r="E99" s="237"/>
      <c r="F99" s="237"/>
      <c r="G99" s="125">
        <v>3553.4</v>
      </c>
      <c r="H99" s="125"/>
      <c r="I99" s="17"/>
    </row>
    <row r="100" spans="2:9" ht="27.6" customHeight="1" x14ac:dyDescent="0.25">
      <c r="B100" s="353" t="s">
        <v>110</v>
      </c>
      <c r="C100" s="178" t="s">
        <v>111</v>
      </c>
      <c r="D100" s="409"/>
      <c r="E100" s="126" t="s">
        <v>33</v>
      </c>
      <c r="F100" s="76"/>
      <c r="G100" s="61"/>
      <c r="H100" s="61"/>
      <c r="I100" s="56" t="s">
        <v>109</v>
      </c>
    </row>
    <row r="101" spans="2:9" ht="30.75" customHeight="1" x14ac:dyDescent="0.25">
      <c r="B101" s="354"/>
      <c r="C101" s="179" t="s">
        <v>18</v>
      </c>
      <c r="D101" s="409"/>
      <c r="E101" s="131">
        <f>200.4+106</f>
        <v>306.39999999999998</v>
      </c>
      <c r="F101" s="131">
        <v>294.5</v>
      </c>
      <c r="G101" s="131">
        <v>306.3</v>
      </c>
      <c r="H101" s="131">
        <v>318.5</v>
      </c>
      <c r="I101" s="132"/>
    </row>
    <row r="102" spans="2:9" ht="30.75" customHeight="1" x14ac:dyDescent="0.25">
      <c r="B102" s="349" t="s">
        <v>112</v>
      </c>
      <c r="C102" s="180" t="s">
        <v>256</v>
      </c>
      <c r="D102" s="351"/>
      <c r="E102" s="126" t="s">
        <v>33</v>
      </c>
      <c r="F102" s="76"/>
      <c r="G102" s="61"/>
      <c r="H102" s="61"/>
      <c r="I102" s="67" t="s">
        <v>109</v>
      </c>
    </row>
    <row r="103" spans="2:9" ht="29.25" customHeight="1" x14ac:dyDescent="0.25">
      <c r="B103" s="349"/>
      <c r="C103" s="181" t="s">
        <v>18</v>
      </c>
      <c r="D103" s="352"/>
      <c r="E103" s="126">
        <f>323.5-62</f>
        <v>261.5</v>
      </c>
      <c r="F103" s="126">
        <v>799.6</v>
      </c>
      <c r="G103" s="125">
        <v>426.1</v>
      </c>
      <c r="H103" s="125">
        <v>377.9</v>
      </c>
      <c r="I103" s="11"/>
    </row>
    <row r="104" spans="2:9" ht="19.5" customHeight="1" x14ac:dyDescent="0.25">
      <c r="B104" s="171"/>
      <c r="C104" s="182" t="s">
        <v>95</v>
      </c>
      <c r="D104" s="69"/>
      <c r="E104" s="250">
        <f>+E106+E107</f>
        <v>4254.3999999999996</v>
      </c>
      <c r="F104" s="250">
        <f>+F106+F107</f>
        <v>5128.4000000000005</v>
      </c>
      <c r="G104" s="250">
        <f>+G106+G107</f>
        <v>5089.5</v>
      </c>
      <c r="H104" s="250">
        <f>+H106+H107</f>
        <v>5402</v>
      </c>
      <c r="I104" s="70"/>
    </row>
    <row r="105" spans="2:9" ht="19.5" customHeight="1" x14ac:dyDescent="0.25">
      <c r="B105" s="311"/>
      <c r="C105" s="310" t="s">
        <v>96</v>
      </c>
      <c r="D105" s="85"/>
      <c r="E105" s="235"/>
      <c r="F105" s="235"/>
      <c r="G105" s="235"/>
      <c r="H105" s="235"/>
      <c r="I105" s="7"/>
    </row>
    <row r="106" spans="2:9" ht="27.75" customHeight="1" x14ac:dyDescent="0.25">
      <c r="B106" s="279"/>
      <c r="C106" s="177" t="s">
        <v>97</v>
      </c>
      <c r="D106" s="72"/>
      <c r="E106" s="246">
        <f>SUMIF($C97:$C103,$C98,E97:E103)</f>
        <v>4254.3999999999996</v>
      </c>
      <c r="F106" s="22">
        <f>SUMIF($C97:$C103,$C98,F97:F103)</f>
        <v>5128.4000000000005</v>
      </c>
      <c r="G106" s="12">
        <f>SUMIF($C97:$C103,$C98,G97:G103)</f>
        <v>1536.1000000000004</v>
      </c>
      <c r="H106" s="12">
        <f>SUMIF($C97:$C103,$C98,H97:H103)</f>
        <v>5402</v>
      </c>
      <c r="I106" s="11"/>
    </row>
    <row r="107" spans="2:9" ht="20.25" customHeight="1" x14ac:dyDescent="0.25">
      <c r="B107" s="279"/>
      <c r="C107" s="10" t="s">
        <v>99</v>
      </c>
      <c r="D107" s="72"/>
      <c r="E107" s="246">
        <f>SUMIF($C98:$C103,$C99,E98:E103)</f>
        <v>0</v>
      </c>
      <c r="F107" s="246">
        <f>SUMIF($C98:$C103,$C99,F98:F103)</f>
        <v>0</v>
      </c>
      <c r="G107" s="246">
        <f>SUMIF($C98:$C103,$C99,G98:G103)</f>
        <v>3553.4</v>
      </c>
      <c r="H107" s="246">
        <f>SUMIF($C98:$C103,$C99,H98:H103)</f>
        <v>0</v>
      </c>
      <c r="I107" s="11"/>
    </row>
    <row r="108" spans="2:9" ht="40.5" customHeight="1" x14ac:dyDescent="0.25">
      <c r="B108" s="172" t="s">
        <v>113</v>
      </c>
      <c r="C108" s="183" t="s">
        <v>114</v>
      </c>
      <c r="D108" s="52"/>
      <c r="E108" s="251"/>
      <c r="F108" s="77"/>
      <c r="G108" s="284"/>
      <c r="H108" s="284"/>
      <c r="I108" s="53"/>
    </row>
    <row r="109" spans="2:9" ht="30.75" customHeight="1" x14ac:dyDescent="0.25">
      <c r="B109" s="173" t="s">
        <v>115</v>
      </c>
      <c r="C109" s="184" t="s">
        <v>116</v>
      </c>
      <c r="D109" s="223"/>
      <c r="E109" s="249"/>
      <c r="F109" s="75"/>
      <c r="G109" s="285"/>
      <c r="H109" s="285"/>
      <c r="I109" s="55"/>
    </row>
    <row r="110" spans="2:9" ht="45" customHeight="1" x14ac:dyDescent="0.25">
      <c r="B110" s="385" t="s">
        <v>117</v>
      </c>
      <c r="C110" s="317" t="s">
        <v>118</v>
      </c>
      <c r="D110" s="355" t="s">
        <v>31</v>
      </c>
      <c r="E110" s="318"/>
      <c r="F110" s="319"/>
      <c r="G110" s="320"/>
      <c r="H110" s="12"/>
      <c r="I110" s="17"/>
    </row>
    <row r="111" spans="2:9" ht="28.5" customHeight="1" x14ac:dyDescent="0.25">
      <c r="B111" s="386"/>
      <c r="C111" s="214" t="s">
        <v>18</v>
      </c>
      <c r="D111" s="356"/>
      <c r="E111" s="321">
        <v>8.8000000000000007</v>
      </c>
      <c r="F111" s="322">
        <f>0.7+8.5+1.8</f>
        <v>11</v>
      </c>
      <c r="G111" s="322">
        <v>11</v>
      </c>
      <c r="H111" s="124">
        <v>11</v>
      </c>
      <c r="I111" s="17"/>
    </row>
    <row r="112" spans="2:9" ht="28.2" customHeight="1" x14ac:dyDescent="0.25">
      <c r="B112" s="174" t="s">
        <v>119</v>
      </c>
      <c r="C112" s="323" t="s">
        <v>120</v>
      </c>
      <c r="D112" s="356"/>
      <c r="E112" s="324" t="s">
        <v>33</v>
      </c>
      <c r="F112" s="325"/>
      <c r="G112" s="149"/>
      <c r="H112" s="61"/>
      <c r="I112" s="56" t="s">
        <v>121</v>
      </c>
    </row>
    <row r="113" spans="1:9" ht="30.75" customHeight="1" x14ac:dyDescent="0.25">
      <c r="B113" s="175"/>
      <c r="C113" s="214" t="s">
        <v>18</v>
      </c>
      <c r="D113" s="356"/>
      <c r="E113" s="324">
        <f>616+288.5-20-245</f>
        <v>639.5</v>
      </c>
      <c r="F113" s="325">
        <f>950.5-100</f>
        <v>850.5</v>
      </c>
      <c r="G113" s="149">
        <f>615.9+100</f>
        <v>715.9</v>
      </c>
      <c r="H113" s="125">
        <v>601.5</v>
      </c>
      <c r="I113" s="11"/>
    </row>
    <row r="114" spans="1:9" ht="19.5" customHeight="1" x14ac:dyDescent="0.25">
      <c r="B114" s="376" t="s">
        <v>122</v>
      </c>
      <c r="C114" s="326" t="s">
        <v>123</v>
      </c>
      <c r="D114" s="356"/>
      <c r="E114" s="327"/>
      <c r="F114" s="149"/>
      <c r="G114" s="149"/>
      <c r="H114" s="61"/>
      <c r="I114" s="76"/>
    </row>
    <row r="115" spans="1:9" ht="29.25" customHeight="1" x14ac:dyDescent="0.25">
      <c r="A115" s="48"/>
      <c r="B115" s="377"/>
      <c r="C115" s="214" t="s">
        <v>18</v>
      </c>
      <c r="D115" s="356"/>
      <c r="E115" s="327"/>
      <c r="F115" s="149">
        <f>1378.2-G115-F116</f>
        <v>930</v>
      </c>
      <c r="G115" s="149">
        <v>400</v>
      </c>
      <c r="H115" s="149"/>
      <c r="I115" s="150"/>
    </row>
    <row r="116" spans="1:9" ht="18.75" customHeight="1" x14ac:dyDescent="0.25">
      <c r="B116" s="378"/>
      <c r="C116" s="214" t="s">
        <v>75</v>
      </c>
      <c r="D116" s="356"/>
      <c r="E116" s="327"/>
      <c r="F116" s="149">
        <v>48.2</v>
      </c>
      <c r="G116" s="149"/>
      <c r="H116" s="61"/>
      <c r="I116" s="35"/>
    </row>
    <row r="117" spans="1:9" ht="40.5" customHeight="1" x14ac:dyDescent="0.25">
      <c r="B117" s="376" t="s">
        <v>124</v>
      </c>
      <c r="C117" s="326" t="s">
        <v>125</v>
      </c>
      <c r="D117" s="356"/>
      <c r="E117" s="327"/>
      <c r="F117" s="149"/>
      <c r="G117" s="149"/>
      <c r="H117" s="61"/>
      <c r="I117" s="76"/>
    </row>
    <row r="118" spans="1:9" ht="29.25" customHeight="1" x14ac:dyDescent="0.25">
      <c r="A118" s="48"/>
      <c r="B118" s="377"/>
      <c r="C118" s="214" t="s">
        <v>18</v>
      </c>
      <c r="D118" s="356"/>
      <c r="E118" s="327"/>
      <c r="F118" s="149"/>
      <c r="G118" s="149">
        <v>500</v>
      </c>
      <c r="H118" s="149"/>
      <c r="I118" s="150"/>
    </row>
    <row r="119" spans="1:9" ht="18.75" customHeight="1" x14ac:dyDescent="0.25">
      <c r="B119" s="378"/>
      <c r="C119" s="214" t="s">
        <v>75</v>
      </c>
      <c r="D119" s="381"/>
      <c r="E119" s="327"/>
      <c r="F119" s="149"/>
      <c r="G119" s="149"/>
      <c r="H119" s="61"/>
      <c r="I119" s="35"/>
    </row>
    <row r="120" spans="1:9" ht="17.25" customHeight="1" x14ac:dyDescent="0.25">
      <c r="B120" s="171"/>
      <c r="C120" s="185" t="s">
        <v>95</v>
      </c>
      <c r="D120" s="218"/>
      <c r="E120" s="247">
        <f>+E122</f>
        <v>648.29999999999995</v>
      </c>
      <c r="F120" s="79">
        <f t="shared" ref="F120:H120" si="2">+F122</f>
        <v>1791.5</v>
      </c>
      <c r="G120" s="293">
        <f t="shared" si="2"/>
        <v>1626.9</v>
      </c>
      <c r="H120" s="293">
        <f t="shared" si="2"/>
        <v>612.5</v>
      </c>
      <c r="I120" s="70"/>
    </row>
    <row r="121" spans="1:9" ht="17.25" customHeight="1" x14ac:dyDescent="0.25">
      <c r="B121" s="359"/>
      <c r="C121" s="186" t="s">
        <v>96</v>
      </c>
      <c r="D121" s="10"/>
      <c r="E121" s="235"/>
      <c r="F121" s="21"/>
      <c r="G121" s="4"/>
      <c r="H121" s="4"/>
      <c r="I121" s="7"/>
    </row>
    <row r="122" spans="1:9" ht="27.75" customHeight="1" x14ac:dyDescent="0.25">
      <c r="B122" s="360"/>
      <c r="C122" s="177" t="s">
        <v>97</v>
      </c>
      <c r="D122" s="10"/>
      <c r="E122" s="252">
        <f>SUMIF($C110:$C119,$C111,E110:E119)</f>
        <v>648.29999999999995</v>
      </c>
      <c r="F122" s="23">
        <f>SUMIF($C110:$C119,$C111,F110:F119)</f>
        <v>1791.5</v>
      </c>
      <c r="G122" s="294">
        <f t="shared" ref="G122:H122" si="3">SUMIF($C110:$C119,$C111,G110:G119)</f>
        <v>1626.9</v>
      </c>
      <c r="H122" s="294">
        <f t="shared" si="3"/>
        <v>612.5</v>
      </c>
      <c r="I122" s="11"/>
    </row>
    <row r="123" spans="1:9" ht="18" customHeight="1" x14ac:dyDescent="0.25">
      <c r="B123" s="101"/>
      <c r="C123" s="190" t="s">
        <v>101</v>
      </c>
      <c r="D123" s="16"/>
      <c r="E123" s="247">
        <f>SUM(E125)</f>
        <v>0</v>
      </c>
      <c r="F123" s="79">
        <f t="shared" ref="F123:H123" si="4">SUM(F125)</f>
        <v>48.2</v>
      </c>
      <c r="G123" s="293">
        <f t="shared" si="4"/>
        <v>0</v>
      </c>
      <c r="H123" s="293">
        <f t="shared" si="4"/>
        <v>0</v>
      </c>
      <c r="I123" s="70"/>
    </row>
    <row r="124" spans="1:9" ht="18" customHeight="1" x14ac:dyDescent="0.25">
      <c r="B124" s="194"/>
      <c r="C124" s="195" t="s">
        <v>102</v>
      </c>
      <c r="D124" s="10"/>
      <c r="E124" s="252"/>
      <c r="F124" s="23"/>
      <c r="G124" s="294"/>
      <c r="H124" s="294"/>
      <c r="I124" s="11"/>
    </row>
    <row r="125" spans="1:9" ht="18" customHeight="1" x14ac:dyDescent="0.25">
      <c r="B125" s="176"/>
      <c r="C125" s="36" t="s">
        <v>104</v>
      </c>
      <c r="D125" s="10"/>
      <c r="E125" s="252">
        <f>SUMIF($C111:$C122,$C119,E111:E122)</f>
        <v>0</v>
      </c>
      <c r="F125" s="23">
        <f t="shared" ref="F125:H125" si="5">SUMIF($C111:$C122,$C119,F111:F122)</f>
        <v>48.2</v>
      </c>
      <c r="G125" s="294">
        <f t="shared" si="5"/>
        <v>0</v>
      </c>
      <c r="H125" s="294">
        <f t="shared" si="5"/>
        <v>0</v>
      </c>
      <c r="I125" s="23"/>
    </row>
    <row r="126" spans="1:9" ht="41.7" customHeight="1" x14ac:dyDescent="0.25">
      <c r="B126" s="196" t="s">
        <v>126</v>
      </c>
      <c r="C126" s="192" t="s">
        <v>127</v>
      </c>
      <c r="D126" s="80"/>
      <c r="E126" s="253"/>
      <c r="F126" s="81"/>
      <c r="G126" s="295"/>
      <c r="H126" s="295"/>
      <c r="I126" s="53"/>
    </row>
    <row r="127" spans="1:9" ht="30" customHeight="1" x14ac:dyDescent="0.25">
      <c r="B127" s="193" t="s">
        <v>128</v>
      </c>
      <c r="C127" s="8" t="s">
        <v>129</v>
      </c>
      <c r="D127" s="74"/>
      <c r="E127" s="249"/>
      <c r="F127" s="75"/>
      <c r="G127" s="285"/>
      <c r="H127" s="285"/>
      <c r="I127" s="55"/>
    </row>
    <row r="128" spans="1:9" ht="42" customHeight="1" x14ac:dyDescent="0.25">
      <c r="B128" s="405" t="s">
        <v>130</v>
      </c>
      <c r="C128" s="31" t="s">
        <v>131</v>
      </c>
      <c r="D128" s="344" t="s">
        <v>31</v>
      </c>
      <c r="E128" s="136"/>
      <c r="F128" s="58"/>
      <c r="G128" s="82"/>
      <c r="H128" s="82"/>
      <c r="I128" s="82" t="s">
        <v>132</v>
      </c>
    </row>
    <row r="129" spans="2:9" ht="29.25" customHeight="1" x14ac:dyDescent="0.25">
      <c r="B129" s="407"/>
      <c r="C129" s="25" t="s">
        <v>18</v>
      </c>
      <c r="D129" s="345"/>
      <c r="E129" s="124">
        <f>653.3+671.9+140</f>
        <v>1465.1999999999998</v>
      </c>
      <c r="F129" s="124">
        <f>1794.4+35</f>
        <v>1829.4</v>
      </c>
      <c r="G129" s="124">
        <f>1978.7-35</f>
        <v>1943.7</v>
      </c>
      <c r="H129" s="124">
        <v>2258.6999999999998</v>
      </c>
      <c r="I129" s="35"/>
    </row>
    <row r="130" spans="2:9" ht="17.25" customHeight="1" x14ac:dyDescent="0.25">
      <c r="B130" s="407"/>
      <c r="C130" s="25" t="s">
        <v>133</v>
      </c>
      <c r="D130" s="345"/>
      <c r="E130" s="125">
        <f>2100+152-200</f>
        <v>2052</v>
      </c>
      <c r="F130" s="125">
        <v>2000</v>
      </c>
      <c r="G130" s="125">
        <v>2503.8000000000002</v>
      </c>
      <c r="H130" s="125">
        <v>3150</v>
      </c>
      <c r="I130" s="35"/>
    </row>
    <row r="131" spans="2:9" ht="30" customHeight="1" x14ac:dyDescent="0.25">
      <c r="B131" s="405"/>
      <c r="C131" s="14" t="s">
        <v>134</v>
      </c>
      <c r="D131" s="345"/>
      <c r="E131" s="125" t="s">
        <v>33</v>
      </c>
      <c r="F131" s="61"/>
      <c r="G131" s="61"/>
      <c r="H131" s="61"/>
      <c r="I131" s="82" t="s">
        <v>132</v>
      </c>
    </row>
    <row r="132" spans="2:9" ht="17.25" customHeight="1" x14ac:dyDescent="0.25">
      <c r="B132" s="406"/>
      <c r="C132" s="25" t="s">
        <v>19</v>
      </c>
      <c r="D132" s="345"/>
      <c r="E132" s="125">
        <f>565.8-102.9-44</f>
        <v>418.9</v>
      </c>
      <c r="F132" s="61"/>
      <c r="G132" s="61"/>
      <c r="H132" s="61"/>
      <c r="I132" s="82"/>
    </row>
    <row r="133" spans="2:9" ht="29.4" customHeight="1" x14ac:dyDescent="0.25">
      <c r="B133" s="340"/>
      <c r="C133" s="10" t="s">
        <v>135</v>
      </c>
      <c r="D133" s="345"/>
      <c r="E133" s="127"/>
      <c r="F133" s="58"/>
      <c r="G133" s="82"/>
      <c r="H133" s="82"/>
      <c r="I133" s="82" t="s">
        <v>136</v>
      </c>
    </row>
    <row r="134" spans="2:9" ht="27" customHeight="1" x14ac:dyDescent="0.25">
      <c r="B134" s="341"/>
      <c r="C134" s="17" t="s">
        <v>18</v>
      </c>
      <c r="D134" s="345"/>
      <c r="E134" s="125">
        <f>162+25.2-44</f>
        <v>143.19999999999999</v>
      </c>
      <c r="F134" s="61"/>
      <c r="G134" s="61"/>
      <c r="H134" s="61"/>
      <c r="I134" s="12"/>
    </row>
    <row r="135" spans="2:9" ht="18.75" customHeight="1" x14ac:dyDescent="0.25">
      <c r="B135" s="348"/>
      <c r="C135" s="26" t="s">
        <v>75</v>
      </c>
      <c r="D135" s="346"/>
      <c r="E135" s="125">
        <f>18+2.8</f>
        <v>20.8</v>
      </c>
      <c r="F135" s="61"/>
      <c r="G135" s="61"/>
      <c r="H135" s="61"/>
      <c r="I135" s="12"/>
    </row>
    <row r="136" spans="2:9" ht="29.25" customHeight="1" x14ac:dyDescent="0.25">
      <c r="B136" s="340" t="s">
        <v>137</v>
      </c>
      <c r="C136" s="3" t="s">
        <v>138</v>
      </c>
      <c r="D136" s="345" t="s">
        <v>62</v>
      </c>
      <c r="E136" s="125"/>
      <c r="F136" s="61"/>
      <c r="G136" s="61"/>
      <c r="H136" s="61"/>
      <c r="I136" s="56"/>
    </row>
    <row r="137" spans="2:9" ht="27.75" customHeight="1" x14ac:dyDescent="0.25">
      <c r="B137" s="348"/>
      <c r="C137" s="17" t="s">
        <v>18</v>
      </c>
      <c r="D137" s="345"/>
      <c r="E137" s="127">
        <v>2</v>
      </c>
      <c r="F137" s="57">
        <v>2</v>
      </c>
      <c r="G137" s="296">
        <v>2</v>
      </c>
      <c r="H137" s="296">
        <v>2</v>
      </c>
      <c r="I137" s="12"/>
    </row>
    <row r="138" spans="2:9" ht="28.5" customHeight="1" x14ac:dyDescent="0.25">
      <c r="B138" s="340" t="s">
        <v>139</v>
      </c>
      <c r="C138" s="3" t="s">
        <v>140</v>
      </c>
      <c r="D138" s="345"/>
      <c r="E138" s="127"/>
      <c r="F138" s="57"/>
      <c r="G138" s="296"/>
      <c r="H138" s="296"/>
      <c r="I138" s="56" t="s">
        <v>29</v>
      </c>
    </row>
    <row r="139" spans="2:9" ht="28.5" customHeight="1" x14ac:dyDescent="0.25">
      <c r="B139" s="341"/>
      <c r="C139" s="17" t="s">
        <v>18</v>
      </c>
      <c r="D139" s="345"/>
      <c r="E139" s="127">
        <f>280+297-20</f>
        <v>557</v>
      </c>
      <c r="F139" s="57">
        <v>421.5</v>
      </c>
      <c r="G139" s="296">
        <v>444</v>
      </c>
      <c r="H139" s="296">
        <v>465.5</v>
      </c>
      <c r="I139" s="56"/>
    </row>
    <row r="140" spans="2:9" ht="18.600000000000001" customHeight="1" x14ac:dyDescent="0.25">
      <c r="B140" s="341"/>
      <c r="C140" s="25" t="s">
        <v>19</v>
      </c>
      <c r="D140" s="345"/>
      <c r="E140" s="127"/>
      <c r="F140" s="57">
        <v>19.399999999999999</v>
      </c>
      <c r="G140" s="296"/>
      <c r="H140" s="296"/>
      <c r="I140" s="56"/>
    </row>
    <row r="141" spans="2:9" ht="29.25" customHeight="1" x14ac:dyDescent="0.25">
      <c r="B141" s="340" t="s">
        <v>141</v>
      </c>
      <c r="C141" s="3" t="s">
        <v>142</v>
      </c>
      <c r="D141" s="344" t="s">
        <v>62</v>
      </c>
      <c r="E141" s="127"/>
      <c r="F141" s="57"/>
      <c r="G141" s="296"/>
      <c r="H141" s="296"/>
      <c r="I141" s="82"/>
    </row>
    <row r="142" spans="2:9" ht="33" customHeight="1" x14ac:dyDescent="0.25">
      <c r="B142" s="348"/>
      <c r="C142" s="17" t="s">
        <v>18</v>
      </c>
      <c r="D142" s="393"/>
      <c r="E142" s="127">
        <v>0</v>
      </c>
      <c r="F142" s="57">
        <v>90</v>
      </c>
      <c r="G142" s="296"/>
      <c r="H142" s="296"/>
      <c r="I142" s="56"/>
    </row>
    <row r="143" spans="2:9" ht="29.25" customHeight="1" x14ac:dyDescent="0.25">
      <c r="B143" s="340"/>
      <c r="C143" s="3" t="s">
        <v>143</v>
      </c>
      <c r="D143" s="344" t="s">
        <v>38</v>
      </c>
      <c r="E143" s="127"/>
      <c r="F143" s="57"/>
      <c r="G143" s="296"/>
      <c r="H143" s="296"/>
      <c r="I143" s="56"/>
    </row>
    <row r="144" spans="2:9" ht="29.25" customHeight="1" x14ac:dyDescent="0.25">
      <c r="B144" s="341"/>
      <c r="C144" s="43" t="s">
        <v>144</v>
      </c>
      <c r="D144" s="345"/>
      <c r="E144" s="127">
        <v>302.10000000000002</v>
      </c>
      <c r="F144" s="57"/>
      <c r="G144" s="296"/>
      <c r="H144" s="296"/>
      <c r="I144" s="56"/>
    </row>
    <row r="145" spans="2:9" ht="19.95" customHeight="1" x14ac:dyDescent="0.25">
      <c r="B145" s="348"/>
      <c r="C145" s="25" t="s">
        <v>19</v>
      </c>
      <c r="D145" s="393"/>
      <c r="E145" s="127">
        <f>102.9-102.9</f>
        <v>0</v>
      </c>
      <c r="F145" s="57"/>
      <c r="G145" s="296"/>
      <c r="H145" s="296"/>
      <c r="I145" s="56"/>
    </row>
    <row r="146" spans="2:9" ht="17.25" customHeight="1" x14ac:dyDescent="0.25">
      <c r="B146" s="68"/>
      <c r="C146" s="16" t="s">
        <v>95</v>
      </c>
      <c r="D146" s="83"/>
      <c r="E146" s="250">
        <f>+E148+E149+E150+E151</f>
        <v>4940.3999999999996</v>
      </c>
      <c r="F146" s="24">
        <f>+F148+F149+F150+F151</f>
        <v>4362.2999999999993</v>
      </c>
      <c r="G146" s="84">
        <f t="shared" ref="G146:H146" si="6">+G148+G149+G150+G151</f>
        <v>4893.5</v>
      </c>
      <c r="H146" s="84">
        <f t="shared" si="6"/>
        <v>5876.2</v>
      </c>
      <c r="I146" s="84"/>
    </row>
    <row r="147" spans="2:9" ht="17.25" customHeight="1" x14ac:dyDescent="0.25">
      <c r="B147" s="361"/>
      <c r="C147" s="14" t="s">
        <v>96</v>
      </c>
      <c r="D147" s="15"/>
      <c r="E147" s="235"/>
      <c r="F147" s="21"/>
      <c r="G147" s="4"/>
      <c r="H147" s="4"/>
      <c r="I147" s="4"/>
    </row>
    <row r="148" spans="2:9" ht="27" customHeight="1" x14ac:dyDescent="0.25">
      <c r="B148" s="370"/>
      <c r="C148" s="10" t="s">
        <v>97</v>
      </c>
      <c r="D148" s="15"/>
      <c r="E148" s="246">
        <f>SUMIF($C128:$C145,$C129,E128:E145)</f>
        <v>2167.3999999999996</v>
      </c>
      <c r="F148" s="22">
        <f>SUMIF($C128:$C145,$C129,F128:F145)</f>
        <v>2342.9</v>
      </c>
      <c r="G148" s="12">
        <f>SUMIF($C128:$C145,$C129,G128:G145)</f>
        <v>2389.6999999999998</v>
      </c>
      <c r="H148" s="12">
        <f>SUMIF($C128:$C145,$C129,H128:H145)</f>
        <v>2726.2</v>
      </c>
      <c r="I148" s="4"/>
    </row>
    <row r="149" spans="2:9" ht="19.5" customHeight="1" x14ac:dyDescent="0.25">
      <c r="B149" s="370"/>
      <c r="C149" s="14" t="s">
        <v>145</v>
      </c>
      <c r="D149" s="15"/>
      <c r="E149" s="246">
        <f>SUMIF($C128:$C145,$C130,E128:E145)</f>
        <v>2052</v>
      </c>
      <c r="F149" s="22">
        <f>SUMIF($C128:$C145,$C130,F128:F145)</f>
        <v>2000</v>
      </c>
      <c r="G149" s="12">
        <f>SUMIF($C128:$C145,$C130,G128:G145)</f>
        <v>2503.8000000000002</v>
      </c>
      <c r="H149" s="12">
        <f>SUMIF($C128:$C145,$C130,H128:H145)</f>
        <v>3150</v>
      </c>
      <c r="I149" s="4"/>
    </row>
    <row r="150" spans="2:9" ht="28.95" customHeight="1" x14ac:dyDescent="0.25">
      <c r="B150" s="370"/>
      <c r="C150" s="42" t="s">
        <v>146</v>
      </c>
      <c r="D150" s="15"/>
      <c r="E150" s="246">
        <f>SUMIF($C128:$C145,$C144,E128:E145)</f>
        <v>302.10000000000002</v>
      </c>
      <c r="F150" s="22">
        <f>SUMIF($C128:$C145,$C144,F128:F145)</f>
        <v>0</v>
      </c>
      <c r="G150" s="12">
        <f>SUMIF($C128:$C145,$C144,G128:G145)</f>
        <v>0</v>
      </c>
      <c r="H150" s="12">
        <f>SUMIF($C128:$C145,$C144,H128:H145)</f>
        <v>0</v>
      </c>
      <c r="I150" s="4"/>
    </row>
    <row r="151" spans="2:9" ht="16.5" customHeight="1" x14ac:dyDescent="0.25">
      <c r="B151" s="370"/>
      <c r="C151" s="10" t="s">
        <v>99</v>
      </c>
      <c r="D151" s="15"/>
      <c r="E151" s="246">
        <f>SUMIF($C128:$C145,$C132,E128:E145)</f>
        <v>418.9</v>
      </c>
      <c r="F151" s="22">
        <f>SUMIF($C128:$C145,$C132,F128:F145)</f>
        <v>19.399999999999999</v>
      </c>
      <c r="G151" s="12">
        <f>SUMIF($C128:$C145,$C132,G128:G145)</f>
        <v>0</v>
      </c>
      <c r="H151" s="12">
        <f>SUMIF($C128:$C145,$C132,H128:H145)</f>
        <v>0</v>
      </c>
      <c r="I151" s="12"/>
    </row>
    <row r="152" spans="2:9" ht="17.25" customHeight="1" x14ac:dyDescent="0.25">
      <c r="B152" s="68"/>
      <c r="C152" s="198" t="s">
        <v>101</v>
      </c>
      <c r="D152" s="69"/>
      <c r="E152" s="250">
        <f>+E154</f>
        <v>20.8</v>
      </c>
      <c r="F152" s="24">
        <f t="shared" ref="F152:H152" si="7">+F154</f>
        <v>0</v>
      </c>
      <c r="G152" s="84">
        <f t="shared" si="7"/>
        <v>0</v>
      </c>
      <c r="H152" s="84">
        <f t="shared" si="7"/>
        <v>0</v>
      </c>
      <c r="I152" s="70"/>
    </row>
    <row r="153" spans="2:9" ht="15" customHeight="1" x14ac:dyDescent="0.25">
      <c r="B153" s="361"/>
      <c r="C153" s="14" t="s">
        <v>102</v>
      </c>
      <c r="D153" s="85"/>
      <c r="E153" s="235"/>
      <c r="F153" s="21"/>
      <c r="G153" s="4"/>
      <c r="H153" s="4"/>
      <c r="I153" s="7"/>
    </row>
    <row r="154" spans="2:9" ht="15" customHeight="1" x14ac:dyDescent="0.25">
      <c r="B154" s="362"/>
      <c r="C154" s="86" t="s">
        <v>147</v>
      </c>
      <c r="D154" s="85"/>
      <c r="E154" s="246">
        <f>SUMIF($C128:$C145,$C135,E128:E145)</f>
        <v>20.8</v>
      </c>
      <c r="F154" s="22">
        <f>SUMIF($C128:$C145,$C135,F128:F145)</f>
        <v>0</v>
      </c>
      <c r="G154" s="12">
        <f>SUMIF($C128:$C145,$C135,G128:G145)</f>
        <v>0</v>
      </c>
      <c r="H154" s="12">
        <f>SUMIF($C128:$C145,$C135,H128:H145)</f>
        <v>0</v>
      </c>
      <c r="I154" s="7"/>
    </row>
    <row r="155" spans="2:9" ht="66.599999999999994" customHeight="1" x14ac:dyDescent="0.25">
      <c r="B155" s="6" t="s">
        <v>148</v>
      </c>
      <c r="C155" s="8" t="s">
        <v>149</v>
      </c>
      <c r="D155" s="87" t="s">
        <v>54</v>
      </c>
      <c r="E155" s="249"/>
      <c r="F155" s="75"/>
      <c r="G155" s="285"/>
      <c r="H155" s="285"/>
      <c r="I155" s="87" t="s">
        <v>55</v>
      </c>
    </row>
    <row r="156" spans="2:9" ht="17.25" customHeight="1" x14ac:dyDescent="0.25">
      <c r="B156" s="68"/>
      <c r="C156" s="16" t="s">
        <v>95</v>
      </c>
      <c r="D156" s="83"/>
      <c r="E156" s="250">
        <f t="shared" ref="E156:H156" si="8">+E158</f>
        <v>63.1</v>
      </c>
      <c r="F156" s="24">
        <f>+F158</f>
        <v>160</v>
      </c>
      <c r="G156" s="84">
        <f t="shared" si="8"/>
        <v>62.9</v>
      </c>
      <c r="H156" s="84">
        <f t="shared" si="8"/>
        <v>62.9</v>
      </c>
      <c r="I156" s="84"/>
    </row>
    <row r="157" spans="2:9" ht="17.25" customHeight="1" x14ac:dyDescent="0.25">
      <c r="B157" s="361"/>
      <c r="C157" s="14" t="s">
        <v>96</v>
      </c>
      <c r="D157" s="15"/>
      <c r="E157" s="235"/>
      <c r="F157" s="21"/>
      <c r="G157" s="4"/>
      <c r="H157" s="4"/>
      <c r="I157" s="4"/>
    </row>
    <row r="158" spans="2:9" ht="27" customHeight="1" x14ac:dyDescent="0.25">
      <c r="B158" s="362"/>
      <c r="C158" s="10" t="s">
        <v>18</v>
      </c>
      <c r="D158" s="15"/>
      <c r="E158" s="235">
        <v>63.1</v>
      </c>
      <c r="F158" s="21">
        <v>160</v>
      </c>
      <c r="G158" s="4">
        <v>62.9</v>
      </c>
      <c r="H158" s="4">
        <v>62.9</v>
      </c>
      <c r="I158" s="4"/>
    </row>
    <row r="159" spans="2:9" ht="30" customHeight="1" x14ac:dyDescent="0.25">
      <c r="B159" s="5" t="s">
        <v>150</v>
      </c>
      <c r="C159" s="37" t="s">
        <v>151</v>
      </c>
      <c r="D159" s="80"/>
      <c r="E159" s="253"/>
      <c r="F159" s="81"/>
      <c r="G159" s="295"/>
      <c r="H159" s="295"/>
      <c r="I159" s="53"/>
    </row>
    <row r="160" spans="2:9" ht="28.8" customHeight="1" x14ac:dyDescent="0.25">
      <c r="B160" s="6" t="s">
        <v>152</v>
      </c>
      <c r="C160" s="8" t="s">
        <v>153</v>
      </c>
      <c r="D160" s="74"/>
      <c r="E160" s="249"/>
      <c r="F160" s="75"/>
      <c r="G160" s="285"/>
      <c r="H160" s="285"/>
      <c r="I160" s="55"/>
    </row>
    <row r="161" spans="2:9" ht="27.75" customHeight="1" x14ac:dyDescent="0.25">
      <c r="B161" s="340" t="s">
        <v>154</v>
      </c>
      <c r="C161" s="9" t="s">
        <v>155</v>
      </c>
      <c r="D161" s="344" t="s">
        <v>31</v>
      </c>
      <c r="E161" s="136"/>
      <c r="F161" s="58"/>
      <c r="G161" s="82"/>
      <c r="H161" s="82"/>
      <c r="I161" s="56" t="s">
        <v>156</v>
      </c>
    </row>
    <row r="162" spans="2:9" ht="26.25" customHeight="1" x14ac:dyDescent="0.25">
      <c r="B162" s="348"/>
      <c r="C162" s="17" t="s">
        <v>19</v>
      </c>
      <c r="D162" s="393"/>
      <c r="E162" s="127">
        <f>105+42.3+140+194</f>
        <v>481.3</v>
      </c>
      <c r="F162" s="127">
        <v>180</v>
      </c>
      <c r="G162" s="297"/>
      <c r="H162" s="297"/>
      <c r="I162" s="56"/>
    </row>
    <row r="163" spans="2:9" ht="43.2" customHeight="1" x14ac:dyDescent="0.25">
      <c r="B163" s="340" t="s">
        <v>157</v>
      </c>
      <c r="C163" s="3" t="s">
        <v>158</v>
      </c>
      <c r="D163" s="344" t="s">
        <v>62</v>
      </c>
      <c r="E163" s="127"/>
      <c r="F163" s="58"/>
      <c r="G163" s="82"/>
      <c r="H163" s="82"/>
      <c r="I163" s="56" t="s">
        <v>159</v>
      </c>
    </row>
    <row r="164" spans="2:9" ht="27.75" customHeight="1" x14ac:dyDescent="0.25">
      <c r="B164" s="341"/>
      <c r="C164" s="17" t="s">
        <v>18</v>
      </c>
      <c r="D164" s="393"/>
      <c r="E164" s="127">
        <v>11.7</v>
      </c>
      <c r="F164" s="57">
        <v>3</v>
      </c>
      <c r="G164" s="296">
        <v>3</v>
      </c>
      <c r="H164" s="296">
        <v>3</v>
      </c>
      <c r="I164" s="56"/>
    </row>
    <row r="165" spans="2:9" ht="33" customHeight="1" x14ac:dyDescent="0.25">
      <c r="B165" s="340" t="s">
        <v>160</v>
      </c>
      <c r="C165" s="88" t="s">
        <v>161</v>
      </c>
      <c r="D165" s="391" t="s">
        <v>162</v>
      </c>
      <c r="E165" s="57"/>
      <c r="F165" s="57"/>
      <c r="G165" s="296"/>
      <c r="H165" s="296"/>
      <c r="I165" s="56" t="s">
        <v>163</v>
      </c>
    </row>
    <row r="166" spans="2:9" ht="27.75" customHeight="1" x14ac:dyDescent="0.25">
      <c r="B166" s="341"/>
      <c r="C166" s="25" t="s">
        <v>18</v>
      </c>
      <c r="D166" s="351"/>
      <c r="E166" s="57">
        <f>120.1-120.1</f>
        <v>0</v>
      </c>
      <c r="F166" s="57">
        <v>50</v>
      </c>
      <c r="G166" s="296">
        <f>70+168.5</f>
        <v>238.5</v>
      </c>
      <c r="H166" s="296">
        <v>500</v>
      </c>
      <c r="I166" s="56"/>
    </row>
    <row r="167" spans="2:9" ht="39.75" customHeight="1" x14ac:dyDescent="0.25">
      <c r="B167" s="340" t="s">
        <v>164</v>
      </c>
      <c r="C167" s="18" t="s">
        <v>165</v>
      </c>
      <c r="D167" s="389" t="s">
        <v>63</v>
      </c>
      <c r="E167" s="127"/>
      <c r="F167" s="58"/>
      <c r="G167" s="82"/>
      <c r="H167" s="82"/>
      <c r="I167" s="56"/>
    </row>
    <row r="168" spans="2:9" ht="19.5" customHeight="1" x14ac:dyDescent="0.25">
      <c r="B168" s="341"/>
      <c r="C168" s="17" t="s">
        <v>68</v>
      </c>
      <c r="D168" s="390"/>
      <c r="E168" s="127">
        <v>800</v>
      </c>
      <c r="F168" s="136">
        <v>720</v>
      </c>
      <c r="G168" s="298">
        <v>720</v>
      </c>
      <c r="H168" s="298">
        <v>720</v>
      </c>
      <c r="I168" s="56"/>
    </row>
    <row r="169" spans="2:9" ht="19.5" customHeight="1" x14ac:dyDescent="0.25">
      <c r="B169" s="133"/>
      <c r="C169" s="25" t="s">
        <v>19</v>
      </c>
      <c r="D169" s="134"/>
      <c r="E169" s="127">
        <f>0+250</f>
        <v>250</v>
      </c>
      <c r="F169" s="58"/>
      <c r="G169" s="82"/>
      <c r="H169" s="82"/>
      <c r="I169" s="56"/>
    </row>
    <row r="170" spans="2:9" ht="27.75" customHeight="1" x14ac:dyDescent="0.25">
      <c r="B170" s="333" t="s">
        <v>166</v>
      </c>
      <c r="C170" s="135" t="s">
        <v>167</v>
      </c>
      <c r="D170" s="391" t="s">
        <v>31</v>
      </c>
      <c r="E170" s="127"/>
      <c r="F170" s="57"/>
      <c r="G170" s="296"/>
      <c r="H170" s="296"/>
      <c r="I170" s="35"/>
    </row>
    <row r="171" spans="2:9" ht="28.5" customHeight="1" x14ac:dyDescent="0.25">
      <c r="B171" s="334"/>
      <c r="C171" s="25" t="s">
        <v>18</v>
      </c>
      <c r="D171" s="351"/>
      <c r="E171" s="254">
        <f>512.8-44</f>
        <v>468.79999999999995</v>
      </c>
      <c r="F171" s="128">
        <v>1320</v>
      </c>
      <c r="G171" s="124">
        <v>1450</v>
      </c>
      <c r="H171" s="124">
        <v>1550</v>
      </c>
      <c r="I171" s="35"/>
    </row>
    <row r="172" spans="2:9" ht="17.25" customHeight="1" x14ac:dyDescent="0.25">
      <c r="B172" s="335"/>
      <c r="C172" s="25" t="s">
        <v>19</v>
      </c>
      <c r="D172" s="351"/>
      <c r="E172" s="127">
        <f>1234.3-554.3+44</f>
        <v>724</v>
      </c>
      <c r="F172" s="57"/>
      <c r="G172" s="296"/>
      <c r="H172" s="296"/>
      <c r="I172" s="35"/>
    </row>
    <row r="173" spans="2:9" ht="41.25" customHeight="1" x14ac:dyDescent="0.25">
      <c r="B173" s="333" t="s">
        <v>168</v>
      </c>
      <c r="C173" s="229" t="s">
        <v>169</v>
      </c>
      <c r="D173" s="394" t="s">
        <v>170</v>
      </c>
      <c r="E173" s="127"/>
      <c r="F173" s="57"/>
      <c r="G173" s="296"/>
      <c r="H173" s="296"/>
      <c r="I173" s="35" t="s">
        <v>171</v>
      </c>
    </row>
    <row r="174" spans="2:9" ht="28.95" customHeight="1" x14ac:dyDescent="0.25">
      <c r="B174" s="335"/>
      <c r="C174" s="148" t="s">
        <v>18</v>
      </c>
      <c r="D174" s="395"/>
      <c r="E174" s="127">
        <v>300</v>
      </c>
      <c r="F174" s="57"/>
      <c r="G174" s="328">
        <v>1000</v>
      </c>
      <c r="H174" s="328">
        <v>700</v>
      </c>
      <c r="I174" s="56"/>
    </row>
    <row r="175" spans="2:9" ht="41.25" customHeight="1" x14ac:dyDescent="0.25">
      <c r="B175" s="333" t="s">
        <v>172</v>
      </c>
      <c r="C175" s="229" t="s">
        <v>173</v>
      </c>
      <c r="D175" s="394" t="s">
        <v>170</v>
      </c>
      <c r="E175" s="127"/>
      <c r="F175" s="57"/>
      <c r="G175" s="296"/>
      <c r="H175" s="296"/>
      <c r="I175" s="35" t="s">
        <v>171</v>
      </c>
    </row>
    <row r="176" spans="2:9" ht="28.95" customHeight="1" x14ac:dyDescent="0.25">
      <c r="B176" s="335"/>
      <c r="C176" s="148" t="s">
        <v>18</v>
      </c>
      <c r="D176" s="395"/>
      <c r="E176" s="127"/>
      <c r="F176" s="57"/>
      <c r="G176" s="299">
        <v>395</v>
      </c>
      <c r="H176" s="299">
        <v>1000</v>
      </c>
      <c r="I176" s="56"/>
    </row>
    <row r="177" spans="1:9" ht="30.6" customHeight="1" x14ac:dyDescent="0.25">
      <c r="B177" s="340"/>
      <c r="C177" s="18" t="s">
        <v>174</v>
      </c>
      <c r="D177" s="351" t="s">
        <v>62</v>
      </c>
      <c r="E177" s="136"/>
      <c r="F177" s="58"/>
      <c r="G177" s="82"/>
      <c r="H177" s="82"/>
      <c r="I177" s="56"/>
    </row>
    <row r="178" spans="1:9" ht="15" customHeight="1" x14ac:dyDescent="0.25">
      <c r="B178" s="348"/>
      <c r="C178" s="17" t="s">
        <v>133</v>
      </c>
      <c r="D178" s="392"/>
      <c r="E178" s="127">
        <v>23.5</v>
      </c>
      <c r="F178" s="57"/>
      <c r="G178" s="296"/>
      <c r="H178" s="296"/>
      <c r="I178" s="56"/>
    </row>
    <row r="179" spans="1:9" ht="27.75" customHeight="1" x14ac:dyDescent="0.25">
      <c r="B179" s="340"/>
      <c r="C179" s="18" t="s">
        <v>175</v>
      </c>
      <c r="D179" s="391" t="s">
        <v>62</v>
      </c>
      <c r="E179" s="136"/>
      <c r="F179" s="58"/>
      <c r="G179" s="82"/>
      <c r="H179" s="82"/>
      <c r="I179" s="56"/>
    </row>
    <row r="180" spans="1:9" ht="15" customHeight="1" x14ac:dyDescent="0.25">
      <c r="B180" s="348"/>
      <c r="C180" s="17" t="s">
        <v>133</v>
      </c>
      <c r="D180" s="392"/>
      <c r="E180" s="127">
        <v>107.2</v>
      </c>
      <c r="F180" s="57"/>
      <c r="G180" s="296"/>
      <c r="H180" s="296"/>
      <c r="I180" s="56"/>
    </row>
    <row r="181" spans="1:9" ht="81" customHeight="1" x14ac:dyDescent="0.25">
      <c r="B181" s="333"/>
      <c r="C181" s="228" t="s">
        <v>176</v>
      </c>
      <c r="D181" s="226" t="s">
        <v>177</v>
      </c>
      <c r="E181" s="127"/>
      <c r="F181" s="57"/>
      <c r="G181" s="296"/>
      <c r="H181" s="296"/>
      <c r="I181" s="150" t="s">
        <v>171</v>
      </c>
    </row>
    <row r="182" spans="1:9" ht="32.25" customHeight="1" x14ac:dyDescent="0.25">
      <c r="B182" s="335"/>
      <c r="C182" s="41" t="s">
        <v>18</v>
      </c>
      <c r="D182" s="76"/>
      <c r="E182" s="255">
        <v>5</v>
      </c>
      <c r="F182" s="57"/>
      <c r="G182" s="299"/>
      <c r="H182" s="299"/>
      <c r="I182" s="56"/>
    </row>
    <row r="183" spans="1:9" ht="30.75" customHeight="1" x14ac:dyDescent="0.25">
      <c r="B183" s="340"/>
      <c r="C183" s="91" t="s">
        <v>178</v>
      </c>
      <c r="D183" s="417" t="s">
        <v>62</v>
      </c>
      <c r="F183" s="105"/>
      <c r="G183" s="300"/>
      <c r="H183" s="300"/>
      <c r="I183" s="56"/>
    </row>
    <row r="184" spans="1:9" ht="17.399999999999999" customHeight="1" x14ac:dyDescent="0.25">
      <c r="B184" s="341"/>
      <c r="C184" s="221" t="s">
        <v>133</v>
      </c>
      <c r="D184" s="418"/>
      <c r="E184" s="256">
        <f>2.5+20.4</f>
        <v>22.9</v>
      </c>
      <c r="F184" s="222"/>
      <c r="G184" s="301"/>
      <c r="H184" s="301"/>
      <c r="I184" s="38"/>
    </row>
    <row r="185" spans="1:9" ht="31.5" customHeight="1" x14ac:dyDescent="0.25">
      <c r="B185" s="347"/>
      <c r="C185" s="91" t="s">
        <v>179</v>
      </c>
      <c r="D185" s="350" t="s">
        <v>180</v>
      </c>
      <c r="E185" s="255"/>
      <c r="F185" s="219"/>
      <c r="G185" s="302"/>
      <c r="H185" s="302"/>
      <c r="I185" s="220"/>
    </row>
    <row r="186" spans="1:9" ht="19.5" customHeight="1" x14ac:dyDescent="0.25">
      <c r="B186" s="341"/>
      <c r="C186" s="137" t="s">
        <v>133</v>
      </c>
      <c r="D186" s="351"/>
      <c r="E186" s="255">
        <f>0+276.3</f>
        <v>276.3</v>
      </c>
      <c r="F186" s="58"/>
      <c r="G186" s="82"/>
      <c r="H186" s="82"/>
      <c r="I186" s="56"/>
    </row>
    <row r="187" spans="1:9" ht="20.25" customHeight="1" x14ac:dyDescent="0.25">
      <c r="B187" s="348"/>
      <c r="C187" s="138" t="s">
        <v>181</v>
      </c>
      <c r="D187" s="352"/>
      <c r="E187" s="255">
        <f>275-275</f>
        <v>0</v>
      </c>
      <c r="F187" s="57"/>
      <c r="G187" s="296"/>
      <c r="H187" s="296"/>
      <c r="I187" s="56"/>
    </row>
    <row r="188" spans="1:9" ht="30.75" customHeight="1" x14ac:dyDescent="0.25">
      <c r="B188" s="340" t="s">
        <v>182</v>
      </c>
      <c r="C188" s="91" t="s">
        <v>183</v>
      </c>
      <c r="D188" s="419" t="s">
        <v>180</v>
      </c>
      <c r="E188" s="255"/>
      <c r="F188" s="58"/>
      <c r="G188" s="82"/>
      <c r="H188" s="82"/>
      <c r="I188" s="56" t="s">
        <v>184</v>
      </c>
    </row>
    <row r="189" spans="1:9" ht="18.75" customHeight="1" x14ac:dyDescent="0.25">
      <c r="B189" s="341"/>
      <c r="C189" s="130" t="s">
        <v>133</v>
      </c>
      <c r="D189" s="418"/>
      <c r="E189" s="255">
        <f>0+714.4</f>
        <v>714.4</v>
      </c>
      <c r="F189" s="58"/>
      <c r="G189" s="82"/>
      <c r="H189" s="82"/>
      <c r="I189" s="56"/>
    </row>
    <row r="190" spans="1:9" ht="19.5" customHeight="1" x14ac:dyDescent="0.25">
      <c r="A190" s="27" t="s">
        <v>185</v>
      </c>
      <c r="B190" s="348"/>
      <c r="C190" s="92" t="s">
        <v>181</v>
      </c>
      <c r="D190" s="420"/>
      <c r="E190" s="255">
        <f>714.4-714.4</f>
        <v>0</v>
      </c>
      <c r="F190" s="329">
        <v>285.60000000000002</v>
      </c>
      <c r="G190" s="296"/>
      <c r="H190" s="296"/>
      <c r="I190" s="56"/>
    </row>
    <row r="191" spans="1:9" ht="15" customHeight="1" x14ac:dyDescent="0.25">
      <c r="B191" s="68"/>
      <c r="C191" s="16" t="s">
        <v>95</v>
      </c>
      <c r="D191" s="93"/>
      <c r="E191" s="250">
        <f>+E193+E194+E195+E196</f>
        <v>4185.1000000000004</v>
      </c>
      <c r="F191" s="24">
        <f t="shared" ref="F191:H191" si="9">+F193+F194+F195+F196</f>
        <v>2273</v>
      </c>
      <c r="G191" s="84">
        <f t="shared" si="9"/>
        <v>3806.5</v>
      </c>
      <c r="H191" s="84">
        <f t="shared" si="9"/>
        <v>4473</v>
      </c>
      <c r="I191" s="70"/>
    </row>
    <row r="192" spans="1:9" ht="15" customHeight="1" x14ac:dyDescent="0.25">
      <c r="B192" s="387"/>
      <c r="C192" s="14" t="s">
        <v>96</v>
      </c>
      <c r="D192" s="67"/>
      <c r="E192" s="235"/>
      <c r="F192" s="21"/>
      <c r="G192" s="4"/>
      <c r="H192" s="4"/>
      <c r="I192" s="7"/>
    </row>
    <row r="193" spans="2:9" ht="28.2" customHeight="1" x14ac:dyDescent="0.25">
      <c r="B193" s="388"/>
      <c r="C193" s="10" t="s">
        <v>97</v>
      </c>
      <c r="D193" s="15"/>
      <c r="E193" s="246">
        <f>SUMIF($C161:$C190,$C164,E161:E190)</f>
        <v>785.5</v>
      </c>
      <c r="F193" s="22">
        <f>SUMIF($C161:$C190,$C164,F161:F190)</f>
        <v>1373</v>
      </c>
      <c r="G193" s="12">
        <f>SUMIF($C161:$C190,$C164,G161:G190)</f>
        <v>3086.5</v>
      </c>
      <c r="H193" s="12">
        <f>SUMIF($C161:$C190,$C164,H161:H190)</f>
        <v>3753</v>
      </c>
      <c r="I193" s="11"/>
    </row>
    <row r="194" spans="2:9" ht="15" customHeight="1" x14ac:dyDescent="0.25">
      <c r="B194" s="388"/>
      <c r="C194" s="10" t="s">
        <v>145</v>
      </c>
      <c r="D194" s="15"/>
      <c r="E194" s="246">
        <f>SUMIF($C161:$C190,$C178,E161:E190)</f>
        <v>1144.3</v>
      </c>
      <c r="F194" s="22">
        <f>SUMIF($C161:$C190,$C178,F161:F190)</f>
        <v>0</v>
      </c>
      <c r="G194" s="12">
        <f>SUMIF($C161:$C190,$C178,G161:G190)</f>
        <v>0</v>
      </c>
      <c r="H194" s="12">
        <f>SUMIF($C161:$C190,$C178,H161:H190)</f>
        <v>0</v>
      </c>
      <c r="I194" s="11"/>
    </row>
    <row r="195" spans="2:9" ht="15" customHeight="1" x14ac:dyDescent="0.25">
      <c r="B195" s="388"/>
      <c r="C195" s="10" t="s">
        <v>98</v>
      </c>
      <c r="D195" s="15"/>
      <c r="E195" s="246">
        <f>SUMIF($C161:$C190,$C168,E161:E190)</f>
        <v>800</v>
      </c>
      <c r="F195" s="22">
        <f t="shared" ref="F195" si="10">SUMIF($C161:$C190,$C168,F161:F190)</f>
        <v>720</v>
      </c>
      <c r="G195" s="12">
        <f>SUMIF($C161:$C190,$C168,G161:G190)</f>
        <v>720</v>
      </c>
      <c r="H195" s="12">
        <f>SUMIF($C161:$C190,$C168,H161:H190)</f>
        <v>720</v>
      </c>
      <c r="I195" s="11"/>
    </row>
    <row r="196" spans="2:9" ht="15" customHeight="1" x14ac:dyDescent="0.25">
      <c r="B196" s="388"/>
      <c r="C196" s="10" t="s">
        <v>99</v>
      </c>
      <c r="D196" s="56"/>
      <c r="E196" s="246">
        <f>SUMIF($C161:$C190,$C172,E161:E190)</f>
        <v>1455.3</v>
      </c>
      <c r="F196" s="22">
        <f>SUMIF($C161:$C190,$C172,F161:F190)</f>
        <v>180</v>
      </c>
      <c r="G196" s="12">
        <f>SUMIF($C161:$C190,$C172,G161:G190)</f>
        <v>0</v>
      </c>
      <c r="H196" s="12">
        <f>SUMIF($C161:$C190,$C172,H161:H190)</f>
        <v>0</v>
      </c>
      <c r="I196" s="11"/>
    </row>
    <row r="197" spans="2:9" ht="15" customHeight="1" x14ac:dyDescent="0.25">
      <c r="B197" s="94"/>
      <c r="C197" s="46" t="s">
        <v>101</v>
      </c>
      <c r="D197" s="93"/>
      <c r="E197" s="257">
        <f>+E199</f>
        <v>0</v>
      </c>
      <c r="F197" s="95">
        <f t="shared" ref="F197:H197" si="11">+F199</f>
        <v>285.60000000000002</v>
      </c>
      <c r="G197" s="303">
        <f t="shared" si="11"/>
        <v>0</v>
      </c>
      <c r="H197" s="303">
        <f t="shared" si="11"/>
        <v>0</v>
      </c>
      <c r="I197" s="70"/>
    </row>
    <row r="198" spans="2:9" ht="15" customHeight="1" x14ac:dyDescent="0.25">
      <c r="B198" s="96"/>
      <c r="C198" s="47" t="s">
        <v>102</v>
      </c>
      <c r="D198" s="56"/>
      <c r="E198" s="258"/>
      <c r="F198" s="21"/>
      <c r="G198" s="4"/>
      <c r="H198" s="4"/>
      <c r="I198" s="11"/>
    </row>
    <row r="199" spans="2:9" ht="15" customHeight="1" x14ac:dyDescent="0.25">
      <c r="B199" s="96"/>
      <c r="C199" s="97" t="s">
        <v>186</v>
      </c>
      <c r="D199" s="56"/>
      <c r="E199" s="259">
        <f>SUMIF($C161:$C190,$C187,E161:E190)</f>
        <v>0</v>
      </c>
      <c r="F199" s="106">
        <f>SUMIF($C161:$C190,$C187,F161:F190)</f>
        <v>285.60000000000002</v>
      </c>
      <c r="G199" s="304">
        <f>SUMIF($C161:$C190,$C187,G161:G190)</f>
        <v>0</v>
      </c>
      <c r="H199" s="304">
        <f>SUMIF($C161:$C190,$C187,H161:H190)</f>
        <v>0</v>
      </c>
      <c r="I199" s="11"/>
    </row>
    <row r="200" spans="2:9" ht="27.75" customHeight="1" x14ac:dyDescent="0.25">
      <c r="B200" s="5" t="s">
        <v>187</v>
      </c>
      <c r="C200" s="37" t="s">
        <v>188</v>
      </c>
      <c r="D200" s="80"/>
      <c r="E200" s="253"/>
      <c r="F200" s="81"/>
      <c r="G200" s="295"/>
      <c r="H200" s="295"/>
      <c r="I200" s="53"/>
    </row>
    <row r="201" spans="2:9" ht="41.25" customHeight="1" x14ac:dyDescent="0.25">
      <c r="B201" s="6" t="s">
        <v>189</v>
      </c>
      <c r="C201" s="141" t="s">
        <v>190</v>
      </c>
      <c r="D201" s="87"/>
      <c r="E201" s="249"/>
      <c r="F201" s="75"/>
      <c r="G201" s="285"/>
      <c r="H201" s="285"/>
      <c r="I201" s="55"/>
    </row>
    <row r="202" spans="2:9" ht="30.6" customHeight="1" x14ac:dyDescent="0.25">
      <c r="B202" s="333" t="s">
        <v>191</v>
      </c>
      <c r="C202" s="14" t="s">
        <v>192</v>
      </c>
      <c r="D202" s="391" t="s">
        <v>193</v>
      </c>
      <c r="E202" s="127"/>
      <c r="F202" s="57"/>
      <c r="G202" s="296"/>
      <c r="H202" s="296"/>
      <c r="I202" s="7"/>
    </row>
    <row r="203" spans="2:9" ht="26.4" x14ac:dyDescent="0.25">
      <c r="B203" s="334"/>
      <c r="C203" s="25" t="s">
        <v>18</v>
      </c>
      <c r="D203" s="351"/>
      <c r="E203" s="127">
        <f>192-100</f>
        <v>92</v>
      </c>
      <c r="F203" s="57">
        <v>77</v>
      </c>
      <c r="G203" s="296">
        <v>60</v>
      </c>
      <c r="H203" s="296">
        <v>25</v>
      </c>
      <c r="I203" s="7"/>
    </row>
    <row r="204" spans="2:9" ht="15" customHeight="1" x14ac:dyDescent="0.25">
      <c r="B204" s="334"/>
      <c r="C204" s="17" t="s">
        <v>133</v>
      </c>
      <c r="D204" s="351"/>
      <c r="E204" s="127">
        <v>10</v>
      </c>
      <c r="F204" s="57">
        <v>5</v>
      </c>
      <c r="G204" s="296">
        <v>3</v>
      </c>
      <c r="H204" s="296">
        <v>3</v>
      </c>
      <c r="I204" s="7"/>
    </row>
    <row r="205" spans="2:9" ht="28.95" customHeight="1" x14ac:dyDescent="0.25">
      <c r="B205" s="39" t="s">
        <v>194</v>
      </c>
      <c r="C205" s="14" t="s">
        <v>195</v>
      </c>
      <c r="D205" s="351"/>
      <c r="E205" s="127"/>
      <c r="F205" s="57"/>
      <c r="G205" s="296"/>
      <c r="H205" s="296"/>
      <c r="I205" s="7"/>
    </row>
    <row r="206" spans="2:9" ht="30" customHeight="1" x14ac:dyDescent="0.25">
      <c r="B206" s="40"/>
      <c r="C206" s="25" t="s">
        <v>18</v>
      </c>
      <c r="D206" s="351"/>
      <c r="E206" s="127">
        <v>90</v>
      </c>
      <c r="F206" s="57"/>
      <c r="G206" s="296">
        <v>40</v>
      </c>
      <c r="H206" s="296">
        <v>40</v>
      </c>
      <c r="I206" s="7"/>
    </row>
    <row r="207" spans="2:9" ht="18" customHeight="1" x14ac:dyDescent="0.25">
      <c r="B207" s="40"/>
      <c r="C207" s="25" t="s">
        <v>196</v>
      </c>
      <c r="D207" s="351"/>
      <c r="E207" s="127"/>
      <c r="F207" s="57">
        <v>88</v>
      </c>
      <c r="G207" s="296"/>
      <c r="H207" s="296"/>
      <c r="I207" s="7"/>
    </row>
    <row r="208" spans="2:9" ht="43.2" customHeight="1" x14ac:dyDescent="0.25">
      <c r="B208" s="333" t="s">
        <v>197</v>
      </c>
      <c r="C208" s="14" t="s">
        <v>198</v>
      </c>
      <c r="D208" s="351"/>
      <c r="E208" s="127"/>
      <c r="F208" s="57"/>
      <c r="G208" s="296"/>
      <c r="H208" s="296"/>
      <c r="I208" s="7"/>
    </row>
    <row r="209" spans="1:9" ht="30" customHeight="1" x14ac:dyDescent="0.25">
      <c r="B209" s="335"/>
      <c r="C209" s="25" t="s">
        <v>18</v>
      </c>
      <c r="D209" s="351"/>
      <c r="E209" s="127">
        <f>40-20</f>
        <v>20</v>
      </c>
      <c r="F209" s="57">
        <v>40</v>
      </c>
      <c r="G209" s="296">
        <v>20</v>
      </c>
      <c r="H209" s="296">
        <v>20</v>
      </c>
      <c r="I209" s="7"/>
    </row>
    <row r="210" spans="1:9" ht="43.5" customHeight="1" x14ac:dyDescent="0.25">
      <c r="B210" s="333" t="s">
        <v>199</v>
      </c>
      <c r="C210" s="14" t="s">
        <v>200</v>
      </c>
      <c r="D210" s="351"/>
      <c r="E210" s="127"/>
      <c r="F210" s="57"/>
      <c r="G210" s="296"/>
      <c r="H210" s="296"/>
      <c r="I210" s="7"/>
    </row>
    <row r="211" spans="1:9" ht="28.95" customHeight="1" x14ac:dyDescent="0.25">
      <c r="B211" s="336"/>
      <c r="C211" s="25" t="s">
        <v>18</v>
      </c>
      <c r="D211" s="351"/>
      <c r="E211" s="127">
        <v>5</v>
      </c>
      <c r="F211" s="57">
        <v>5</v>
      </c>
      <c r="G211" s="296">
        <v>2.5</v>
      </c>
      <c r="H211" s="296">
        <v>2.5</v>
      </c>
      <c r="I211" s="11"/>
    </row>
    <row r="212" spans="1:9" ht="52.8" x14ac:dyDescent="0.25">
      <c r="B212" s="333" t="s">
        <v>201</v>
      </c>
      <c r="C212" s="14" t="s">
        <v>202</v>
      </c>
      <c r="D212" s="351"/>
      <c r="E212" s="127"/>
      <c r="F212" s="57"/>
      <c r="G212" s="296"/>
      <c r="H212" s="296"/>
      <c r="I212" s="7"/>
    </row>
    <row r="213" spans="1:9" ht="29.4" customHeight="1" x14ac:dyDescent="0.25">
      <c r="A213" s="27" t="s">
        <v>185</v>
      </c>
      <c r="B213" s="334"/>
      <c r="C213" s="25" t="s">
        <v>18</v>
      </c>
      <c r="D213" s="351"/>
      <c r="E213" s="127">
        <f>22.9-3.4</f>
        <v>19.5</v>
      </c>
      <c r="F213" s="57">
        <v>23.8</v>
      </c>
      <c r="G213" s="296">
        <v>7</v>
      </c>
      <c r="H213" s="296">
        <v>7</v>
      </c>
      <c r="I213" s="7"/>
    </row>
    <row r="214" spans="1:9" ht="39.6" x14ac:dyDescent="0.25">
      <c r="B214" s="333" t="s">
        <v>203</v>
      </c>
      <c r="C214" s="14" t="s">
        <v>204</v>
      </c>
      <c r="D214" s="351"/>
      <c r="E214" s="127"/>
      <c r="F214" s="57"/>
      <c r="G214" s="296"/>
      <c r="H214" s="296"/>
      <c r="I214" s="7"/>
    </row>
    <row r="215" spans="1:9" ht="29.25" customHeight="1" x14ac:dyDescent="0.25">
      <c r="B215" s="336"/>
      <c r="C215" s="25" t="s">
        <v>18</v>
      </c>
      <c r="D215" s="351"/>
      <c r="E215" s="127">
        <v>2.5</v>
      </c>
      <c r="F215" s="57">
        <v>5</v>
      </c>
      <c r="G215" s="296">
        <v>5</v>
      </c>
      <c r="H215" s="296">
        <v>3</v>
      </c>
      <c r="I215" s="11"/>
    </row>
    <row r="216" spans="1:9" ht="42.6" customHeight="1" x14ac:dyDescent="0.25">
      <c r="B216" s="333" t="s">
        <v>205</v>
      </c>
      <c r="C216" s="88" t="s">
        <v>206</v>
      </c>
      <c r="D216" s="351"/>
      <c r="E216" s="127"/>
      <c r="F216" s="57"/>
      <c r="G216" s="296"/>
      <c r="H216" s="296"/>
      <c r="I216" s="11"/>
    </row>
    <row r="217" spans="1:9" ht="31.95" customHeight="1" x14ac:dyDescent="0.25">
      <c r="B217" s="336"/>
      <c r="C217" s="25" t="s">
        <v>18</v>
      </c>
      <c r="D217" s="351"/>
      <c r="E217" s="127">
        <v>2.5</v>
      </c>
      <c r="F217" s="57">
        <v>2</v>
      </c>
      <c r="G217" s="296">
        <v>2</v>
      </c>
      <c r="H217" s="296">
        <v>2</v>
      </c>
      <c r="I217" s="11"/>
    </row>
    <row r="218" spans="1:9" ht="29.4" customHeight="1" x14ac:dyDescent="0.25">
      <c r="B218" s="333" t="s">
        <v>207</v>
      </c>
      <c r="C218" s="88" t="s">
        <v>208</v>
      </c>
      <c r="D218" s="351"/>
      <c r="E218" s="127"/>
      <c r="F218" s="57"/>
      <c r="G218" s="296"/>
      <c r="H218" s="296"/>
      <c r="I218" s="11"/>
    </row>
    <row r="219" spans="1:9" ht="31.2" customHeight="1" x14ac:dyDescent="0.25">
      <c r="B219" s="335"/>
      <c r="C219" s="25" t="s">
        <v>18</v>
      </c>
      <c r="D219" s="351"/>
      <c r="E219" s="127">
        <f>10+1.6</f>
        <v>11.6</v>
      </c>
      <c r="F219" s="57">
        <v>10</v>
      </c>
      <c r="G219" s="296">
        <v>5</v>
      </c>
      <c r="H219" s="296">
        <v>5</v>
      </c>
      <c r="I219" s="11"/>
    </row>
    <row r="220" spans="1:9" ht="30.6" customHeight="1" x14ac:dyDescent="0.25">
      <c r="B220" s="333" t="s">
        <v>209</v>
      </c>
      <c r="C220" s="88" t="s">
        <v>210</v>
      </c>
      <c r="D220" s="351"/>
      <c r="E220" s="136"/>
      <c r="F220" s="58"/>
      <c r="G220" s="82"/>
      <c r="H220" s="82"/>
      <c r="I220" s="11"/>
    </row>
    <row r="221" spans="1:9" ht="29.4" customHeight="1" x14ac:dyDescent="0.25">
      <c r="B221" s="335"/>
      <c r="C221" s="25" t="s">
        <v>18</v>
      </c>
      <c r="D221" s="351"/>
      <c r="E221" s="260"/>
      <c r="F221" s="98"/>
      <c r="G221" s="305"/>
      <c r="H221" s="305"/>
      <c r="I221" s="11"/>
    </row>
    <row r="222" spans="1:9" ht="19.5" customHeight="1" x14ac:dyDescent="0.25">
      <c r="B222" s="413" t="s">
        <v>211</v>
      </c>
      <c r="C222" s="13" t="s">
        <v>212</v>
      </c>
      <c r="D222" s="396" t="s">
        <v>213</v>
      </c>
      <c r="E222" s="261"/>
      <c r="F222" s="215"/>
      <c r="G222" s="306"/>
      <c r="H222" s="306"/>
      <c r="I222" s="11"/>
    </row>
    <row r="223" spans="1:9" ht="29.4" customHeight="1" x14ac:dyDescent="0.25">
      <c r="B223" s="414"/>
      <c r="C223" s="148" t="s">
        <v>18</v>
      </c>
      <c r="D223" s="396"/>
      <c r="E223" s="261"/>
      <c r="F223" s="216">
        <v>6</v>
      </c>
      <c r="G223" s="306"/>
      <c r="H223" s="306"/>
      <c r="I223" s="11"/>
    </row>
    <row r="224" spans="1:9" ht="17.25" customHeight="1" x14ac:dyDescent="0.25">
      <c r="B224" s="415"/>
      <c r="C224" s="217" t="s">
        <v>181</v>
      </c>
      <c r="D224" s="396"/>
      <c r="E224" s="261"/>
      <c r="F224" s="215"/>
      <c r="G224" s="306"/>
      <c r="H224" s="306"/>
      <c r="I224" s="11"/>
    </row>
    <row r="225" spans="2:9" ht="18" customHeight="1" x14ac:dyDescent="0.25">
      <c r="B225" s="68"/>
      <c r="C225" s="78" t="s">
        <v>95</v>
      </c>
      <c r="D225" s="218"/>
      <c r="E225" s="247">
        <f>+E227+E228</f>
        <v>253.1</v>
      </c>
      <c r="F225" s="79">
        <f>+F227+F228</f>
        <v>173.8</v>
      </c>
      <c r="G225" s="293">
        <f t="shared" ref="G225:H225" si="12">+G227+G228</f>
        <v>144.5</v>
      </c>
      <c r="H225" s="293">
        <f t="shared" si="12"/>
        <v>107.5</v>
      </c>
      <c r="I225" s="70"/>
    </row>
    <row r="226" spans="2:9" ht="18" customHeight="1" x14ac:dyDescent="0.25">
      <c r="B226" s="361"/>
      <c r="C226" s="13" t="s">
        <v>96</v>
      </c>
      <c r="D226" s="10"/>
      <c r="E226" s="235"/>
      <c r="F226" s="21"/>
      <c r="G226" s="4"/>
      <c r="H226" s="4"/>
      <c r="I226" s="7"/>
    </row>
    <row r="227" spans="2:9" ht="29.25" customHeight="1" x14ac:dyDescent="0.25">
      <c r="B227" s="370"/>
      <c r="C227" s="10" t="s">
        <v>97</v>
      </c>
      <c r="D227" s="10"/>
      <c r="E227" s="252">
        <f>SUMIF($C202:$C224,$C203,E202:E224)</f>
        <v>243.1</v>
      </c>
      <c r="F227" s="23">
        <f>SUMIF($C202:$C224,$C203,F202:F224)</f>
        <v>168.8</v>
      </c>
      <c r="G227" s="294">
        <f>SUMIF($C202:$C224,$C203,G202:G224)</f>
        <v>141.5</v>
      </c>
      <c r="H227" s="294">
        <f>SUMIF($C202:$C224,$C203,H202:H224)</f>
        <v>104.5</v>
      </c>
      <c r="I227" s="11"/>
    </row>
    <row r="228" spans="2:9" ht="18" customHeight="1" x14ac:dyDescent="0.25">
      <c r="B228" s="370"/>
      <c r="C228" s="14" t="s">
        <v>145</v>
      </c>
      <c r="D228" s="10"/>
      <c r="E228" s="252">
        <f>SUMIF($C202:$C224,$C204,E202:E224)</f>
        <v>10</v>
      </c>
      <c r="F228" s="23">
        <f>SUMIF($C202:$C224,$C204,F202:F224)</f>
        <v>5</v>
      </c>
      <c r="G228" s="294">
        <f>SUMIF($C202:$C224,$C204,G202:G224)</f>
        <v>3</v>
      </c>
      <c r="H228" s="294">
        <f>SUMIF($C202:$C224,$C204,H202:H224)</f>
        <v>3</v>
      </c>
      <c r="I228" s="11"/>
    </row>
    <row r="229" spans="2:9" ht="18" customHeight="1" x14ac:dyDescent="0.25">
      <c r="B229" s="200"/>
      <c r="C229" s="201" t="s">
        <v>101</v>
      </c>
      <c r="D229" s="16"/>
      <c r="E229" s="247"/>
      <c r="F229" s="79"/>
      <c r="G229" s="293"/>
      <c r="H229" s="293"/>
      <c r="I229" s="70"/>
    </row>
    <row r="230" spans="2:9" ht="18" customHeight="1" x14ac:dyDescent="0.25">
      <c r="B230" s="199"/>
      <c r="C230" s="47" t="s">
        <v>102</v>
      </c>
      <c r="D230" s="10"/>
      <c r="E230" s="252"/>
      <c r="F230" s="23"/>
      <c r="G230" s="294"/>
      <c r="H230" s="294"/>
      <c r="I230" s="11"/>
    </row>
    <row r="231" spans="2:9" ht="18" customHeight="1" x14ac:dyDescent="0.25">
      <c r="B231" s="199"/>
      <c r="C231" s="97" t="s">
        <v>186</v>
      </c>
      <c r="D231" s="10"/>
      <c r="E231" s="252">
        <f>SUMIF($C203:$C224,$C224,E203:E224)</f>
        <v>0</v>
      </c>
      <c r="F231" s="23">
        <f t="shared" ref="F231:H231" si="13">SUMIF($C203:$C224,$C224,F203:F224)</f>
        <v>0</v>
      </c>
      <c r="G231" s="294">
        <f t="shared" si="13"/>
        <v>0</v>
      </c>
      <c r="H231" s="294">
        <f t="shared" si="13"/>
        <v>0</v>
      </c>
      <c r="I231" s="11"/>
    </row>
    <row r="232" spans="2:9" ht="43.2" customHeight="1" x14ac:dyDescent="0.25">
      <c r="B232" s="6" t="s">
        <v>214</v>
      </c>
      <c r="C232" s="8" t="s">
        <v>215</v>
      </c>
      <c r="D232" s="87" t="s">
        <v>216</v>
      </c>
      <c r="E232" s="249"/>
      <c r="F232" s="75"/>
      <c r="G232" s="285"/>
      <c r="H232" s="285"/>
      <c r="I232" s="55"/>
    </row>
    <row r="233" spans="2:9" ht="15" customHeight="1" x14ac:dyDescent="0.25">
      <c r="B233" s="68"/>
      <c r="C233" s="16" t="s">
        <v>95</v>
      </c>
      <c r="D233" s="69"/>
      <c r="E233" s="250">
        <f>+E235+E236</f>
        <v>37.5</v>
      </c>
      <c r="F233" s="24">
        <f t="shared" ref="F233:H233" si="14">+F235+F236</f>
        <v>24.5</v>
      </c>
      <c r="G233" s="84">
        <f t="shared" si="14"/>
        <v>20</v>
      </c>
      <c r="H233" s="84">
        <f t="shared" si="14"/>
        <v>20</v>
      </c>
      <c r="I233" s="70"/>
    </row>
    <row r="234" spans="2:9" ht="15" customHeight="1" x14ac:dyDescent="0.25">
      <c r="B234" s="402"/>
      <c r="C234" s="14" t="s">
        <v>96</v>
      </c>
      <c r="D234" s="71"/>
      <c r="E234" s="235"/>
      <c r="F234" s="21"/>
      <c r="G234" s="4"/>
      <c r="H234" s="4"/>
      <c r="I234" s="7"/>
    </row>
    <row r="235" spans="2:9" ht="28.5" customHeight="1" x14ac:dyDescent="0.25">
      <c r="B235" s="403"/>
      <c r="C235" s="10" t="s">
        <v>18</v>
      </c>
      <c r="D235" s="99"/>
      <c r="E235" s="262">
        <f>20+13</f>
        <v>33</v>
      </c>
      <c r="F235" s="34">
        <v>20</v>
      </c>
      <c r="G235" s="307">
        <v>20</v>
      </c>
      <c r="H235" s="307">
        <v>20</v>
      </c>
      <c r="I235" s="11"/>
    </row>
    <row r="236" spans="2:9" ht="15" customHeight="1" x14ac:dyDescent="0.25">
      <c r="B236" s="404"/>
      <c r="C236" s="14" t="s">
        <v>19</v>
      </c>
      <c r="D236" s="100"/>
      <c r="E236" s="235">
        <v>4.5</v>
      </c>
      <c r="F236" s="21">
        <v>4.5</v>
      </c>
      <c r="G236" s="4">
        <v>0</v>
      </c>
      <c r="H236" s="4">
        <v>0</v>
      </c>
      <c r="I236" s="35"/>
    </row>
    <row r="237" spans="2:9" ht="26.25" customHeight="1" x14ac:dyDescent="0.25">
      <c r="B237" s="101"/>
      <c r="C237" s="16" t="s">
        <v>217</v>
      </c>
      <c r="D237" s="69"/>
      <c r="E237" s="250">
        <f>+E86+E104+E120+E146+E152+E156+E191+E225+E233+E197+E92</f>
        <v>29112.199999999997</v>
      </c>
      <c r="F237" s="24">
        <f>+F86+F104+F120+F146+F152+F156+F191+F225+F233+F197+F92+F123</f>
        <v>36627.9</v>
      </c>
      <c r="G237" s="84">
        <f>+G86+G104+G120+G146+G152+G156+G191+G225+G233+G197+G92</f>
        <v>47685.400000000009</v>
      </c>
      <c r="H237" s="84">
        <f>+H86+H104+H120+H146+H152+H156+H191+H225+H233+H197+H92</f>
        <v>38459.5</v>
      </c>
      <c r="I237" s="70"/>
    </row>
    <row r="238" spans="2:9" ht="15.75" customHeight="1" x14ac:dyDescent="0.25">
      <c r="B238" s="205"/>
      <c r="C238" s="206" t="s">
        <v>218</v>
      </c>
      <c r="D238" s="188"/>
      <c r="E238" s="263">
        <f>+E13</f>
        <v>47.7</v>
      </c>
      <c r="F238" s="207">
        <f>+F13+F16+F28+F30</f>
        <v>1445.8</v>
      </c>
      <c r="G238" s="308">
        <f>+G13+G16+G28+G30</f>
        <v>5280.8</v>
      </c>
      <c r="H238" s="308">
        <f t="shared" ref="H238" si="15">+H13</f>
        <v>715.1</v>
      </c>
      <c r="I238" s="208"/>
    </row>
    <row r="239" spans="2:9" ht="33.75" customHeight="1" x14ac:dyDescent="0.25">
      <c r="B239" s="202"/>
      <c r="C239" s="90" t="s">
        <v>219</v>
      </c>
      <c r="D239" s="203"/>
      <c r="E239" s="264"/>
      <c r="F239" s="139">
        <f>+F237-E237</f>
        <v>7515.7000000000044</v>
      </c>
      <c r="G239" s="224">
        <f t="shared" ref="G239:H239" si="16">+G237-F237</f>
        <v>11057.500000000007</v>
      </c>
      <c r="H239" s="224">
        <f t="shared" si="16"/>
        <v>-9225.9000000000087</v>
      </c>
      <c r="I239" s="204"/>
    </row>
    <row r="240" spans="2:9" ht="15" customHeight="1" x14ac:dyDescent="0.25"/>
    <row r="241" spans="2:9" ht="15" customHeight="1" x14ac:dyDescent="0.25">
      <c r="B241" s="384" t="s">
        <v>220</v>
      </c>
      <c r="C241" s="384"/>
      <c r="D241" s="384"/>
      <c r="E241" s="384"/>
      <c r="F241" s="384"/>
      <c r="G241" s="384"/>
      <c r="H241" s="384"/>
      <c r="I241" s="384"/>
    </row>
    <row r="242" spans="2:9" ht="15" customHeight="1" x14ac:dyDescent="0.25">
      <c r="B242" s="397" t="s">
        <v>221</v>
      </c>
      <c r="C242" s="397"/>
      <c r="D242" s="397"/>
      <c r="E242" s="397"/>
      <c r="F242" s="397"/>
      <c r="G242" s="397"/>
      <c r="H242" s="397"/>
      <c r="I242" s="397"/>
    </row>
    <row r="243" spans="2:9" ht="15" customHeight="1" x14ac:dyDescent="0.25">
      <c r="B243" s="384" t="s">
        <v>222</v>
      </c>
      <c r="C243" s="384"/>
      <c r="D243" s="384"/>
      <c r="E243" s="384"/>
      <c r="F243" s="384"/>
      <c r="G243" s="384"/>
      <c r="H243" s="384"/>
      <c r="I243" s="384"/>
    </row>
    <row r="244" spans="2:9" ht="15" customHeight="1" x14ac:dyDescent="0.25">
      <c r="B244" s="384" t="s">
        <v>223</v>
      </c>
      <c r="C244" s="384"/>
      <c r="D244" s="384"/>
      <c r="E244" s="384"/>
      <c r="F244" s="384"/>
      <c r="G244" s="384"/>
      <c r="H244" s="384"/>
      <c r="I244" s="384"/>
    </row>
    <row r="245" spans="2:9" ht="15" customHeight="1" x14ac:dyDescent="0.25">
      <c r="B245" s="384" t="s">
        <v>224</v>
      </c>
      <c r="C245" s="384"/>
      <c r="D245" s="384"/>
      <c r="E245" s="384"/>
      <c r="F245" s="384"/>
      <c r="G245" s="384"/>
      <c r="H245" s="384"/>
      <c r="I245" s="384"/>
    </row>
    <row r="247" spans="2:9" x14ac:dyDescent="0.25">
      <c r="E247" s="265"/>
      <c r="F247" s="102"/>
    </row>
  </sheetData>
  <mergeCells count="119">
    <mergeCell ref="B202:B204"/>
    <mergeCell ref="B222:B224"/>
    <mergeCell ref="B220:B221"/>
    <mergeCell ref="E1:I1"/>
    <mergeCell ref="B241:I241"/>
    <mergeCell ref="D17:D18"/>
    <mergeCell ref="D183:D184"/>
    <mergeCell ref="D185:D187"/>
    <mergeCell ref="D188:D190"/>
    <mergeCell ref="D141:D142"/>
    <mergeCell ref="B179:B180"/>
    <mergeCell ref="B47:B52"/>
    <mergeCell ref="B62:B63"/>
    <mergeCell ref="B78:B79"/>
    <mergeCell ref="B70:B71"/>
    <mergeCell ref="B84:B85"/>
    <mergeCell ref="B80:B81"/>
    <mergeCell ref="D43:D44"/>
    <mergeCell ref="B64:B66"/>
    <mergeCell ref="B3:I3"/>
    <mergeCell ref="B147:B151"/>
    <mergeCell ref="D8:D10"/>
    <mergeCell ref="B175:B176"/>
    <mergeCell ref="D222:D224"/>
    <mergeCell ref="B8:B10"/>
    <mergeCell ref="B242:I242"/>
    <mergeCell ref="D19:D21"/>
    <mergeCell ref="D27:D30"/>
    <mergeCell ref="B53:B54"/>
    <mergeCell ref="B234:B236"/>
    <mergeCell ref="B208:B209"/>
    <mergeCell ref="B210:B211"/>
    <mergeCell ref="B212:B213"/>
    <mergeCell ref="B72:B73"/>
    <mergeCell ref="B76:B77"/>
    <mergeCell ref="B131:B132"/>
    <mergeCell ref="B128:B130"/>
    <mergeCell ref="B45:B46"/>
    <mergeCell ref="B74:B75"/>
    <mergeCell ref="D22:D24"/>
    <mergeCell ref="B55:B58"/>
    <mergeCell ref="D97:D103"/>
    <mergeCell ref="D143:D145"/>
    <mergeCell ref="B117:B119"/>
    <mergeCell ref="D117:D119"/>
    <mergeCell ref="D82:D83"/>
    <mergeCell ref="D202:D221"/>
    <mergeCell ref="B226:B228"/>
    <mergeCell ref="B245:I245"/>
    <mergeCell ref="B243:I243"/>
    <mergeCell ref="B110:B111"/>
    <mergeCell ref="B177:B178"/>
    <mergeCell ref="B192:B196"/>
    <mergeCell ref="B244:I244"/>
    <mergeCell ref="B138:B140"/>
    <mergeCell ref="B167:B168"/>
    <mergeCell ref="D167:D168"/>
    <mergeCell ref="D170:D172"/>
    <mergeCell ref="D177:D178"/>
    <mergeCell ref="D165:D166"/>
    <mergeCell ref="D161:D162"/>
    <mergeCell ref="D163:D164"/>
    <mergeCell ref="B165:B166"/>
    <mergeCell ref="B163:B164"/>
    <mergeCell ref="B173:B174"/>
    <mergeCell ref="D173:D174"/>
    <mergeCell ref="D179:D180"/>
    <mergeCell ref="B216:B217"/>
    <mergeCell ref="B157:B158"/>
    <mergeCell ref="D175:D176"/>
    <mergeCell ref="B218:B219"/>
    <mergeCell ref="B121:B122"/>
    <mergeCell ref="B153:B154"/>
    <mergeCell ref="B25:B26"/>
    <mergeCell ref="B22:B24"/>
    <mergeCell ref="B19:B21"/>
    <mergeCell ref="D53:D54"/>
    <mergeCell ref="B27:B30"/>
    <mergeCell ref="D76:D77"/>
    <mergeCell ref="D78:D79"/>
    <mergeCell ref="B87:B91"/>
    <mergeCell ref="B59:B61"/>
    <mergeCell ref="B39:B40"/>
    <mergeCell ref="D45:D46"/>
    <mergeCell ref="B41:B42"/>
    <mergeCell ref="B67:B69"/>
    <mergeCell ref="D59:D61"/>
    <mergeCell ref="B114:B116"/>
    <mergeCell ref="D114:D116"/>
    <mergeCell ref="B82:B83"/>
    <mergeCell ref="D80:D81"/>
    <mergeCell ref="D84:D85"/>
    <mergeCell ref="D49:D50"/>
    <mergeCell ref="D62:D75"/>
    <mergeCell ref="B97:B99"/>
    <mergeCell ref="B170:B172"/>
    <mergeCell ref="B214:B215"/>
    <mergeCell ref="D12:D16"/>
    <mergeCell ref="B17:B18"/>
    <mergeCell ref="D25:D26"/>
    <mergeCell ref="D128:D135"/>
    <mergeCell ref="B183:B184"/>
    <mergeCell ref="B185:B187"/>
    <mergeCell ref="B188:B190"/>
    <mergeCell ref="B143:B145"/>
    <mergeCell ref="B102:B103"/>
    <mergeCell ref="D31:D42"/>
    <mergeCell ref="B161:B162"/>
    <mergeCell ref="B133:B135"/>
    <mergeCell ref="B181:B182"/>
    <mergeCell ref="B100:B101"/>
    <mergeCell ref="B35:B36"/>
    <mergeCell ref="B37:B38"/>
    <mergeCell ref="B43:B44"/>
    <mergeCell ref="D110:D113"/>
    <mergeCell ref="B136:B137"/>
    <mergeCell ref="D136:D140"/>
    <mergeCell ref="B141:B142"/>
    <mergeCell ref="D51:D52"/>
  </mergeCells>
  <phoneticPr fontId="14" type="noConversion"/>
  <pageMargins left="0.39370078740157483" right="0.39370078740157483" top="0.59055118110236227" bottom="0.59055118110236227" header="0" footer="0"/>
  <pageSetup paperSize="9" scale="90" fitToHeight="0" orientation="landscape" r:id="rId1"/>
  <rowBreaks count="1" manualBreakCount="1">
    <brk id="170" max="8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9700C-3109-41A4-89F6-0709AA8EE948}">
  <sheetPr>
    <pageSetUpPr fitToPage="1"/>
  </sheetPr>
  <dimension ref="B1:I28"/>
  <sheetViews>
    <sheetView zoomScaleNormal="100" workbookViewId="0">
      <selection activeCell="C32" sqref="C32"/>
    </sheetView>
  </sheetViews>
  <sheetFormatPr defaultColWidth="9.33203125" defaultRowHeight="13.2" x14ac:dyDescent="0.25"/>
  <cols>
    <col min="1" max="1" width="2.5546875" style="1" customWidth="1"/>
    <col min="2" max="2" width="4.6640625" style="1" customWidth="1"/>
    <col min="3" max="3" width="44.6640625" style="2" customWidth="1"/>
    <col min="4" max="7" width="21.33203125" style="1" customWidth="1"/>
    <col min="8" max="16384" width="9.33203125" style="1"/>
  </cols>
  <sheetData>
    <row r="1" spans="2:7" ht="15.75" customHeight="1" x14ac:dyDescent="0.25">
      <c r="B1" s="426" t="s">
        <v>225</v>
      </c>
      <c r="C1" s="426"/>
      <c r="D1" s="426"/>
      <c r="E1" s="426"/>
      <c r="F1" s="426"/>
      <c r="G1" s="426"/>
    </row>
    <row r="2" spans="2:7" x14ac:dyDescent="0.25">
      <c r="C2" s="1"/>
    </row>
    <row r="3" spans="2:7" ht="42.75" customHeight="1" x14ac:dyDescent="0.25">
      <c r="B3" s="109" t="s">
        <v>226</v>
      </c>
      <c r="C3" s="110" t="s">
        <v>227</v>
      </c>
      <c r="D3" s="111" t="s">
        <v>228</v>
      </c>
      <c r="E3" s="107" t="s">
        <v>6</v>
      </c>
      <c r="F3" s="107" t="s">
        <v>7</v>
      </c>
      <c r="G3" s="107" t="s">
        <v>8</v>
      </c>
    </row>
    <row r="4" spans="2:7" ht="12.75" customHeight="1" x14ac:dyDescent="0.25">
      <c r="B4" s="112">
        <v>1</v>
      </c>
      <c r="C4" s="113">
        <v>2</v>
      </c>
      <c r="D4" s="112">
        <v>3</v>
      </c>
      <c r="E4" s="108">
        <v>4</v>
      </c>
      <c r="F4" s="108">
        <v>5</v>
      </c>
      <c r="G4" s="108">
        <v>6</v>
      </c>
    </row>
    <row r="5" spans="2:7" ht="15.75" customHeight="1" x14ac:dyDescent="0.25">
      <c r="B5" s="425" t="s">
        <v>229</v>
      </c>
      <c r="C5" s="425"/>
      <c r="D5" s="425"/>
      <c r="E5" s="425"/>
      <c r="F5" s="425"/>
      <c r="G5" s="425"/>
    </row>
    <row r="6" spans="2:7" ht="17.25" customHeight="1" x14ac:dyDescent="0.25">
      <c r="B6" s="114" t="s">
        <v>230</v>
      </c>
      <c r="C6" s="115" t="s">
        <v>95</v>
      </c>
      <c r="D6" s="20">
        <f t="shared" ref="D6:G6" si="0">+D8+D9+D10+D11+D12+D13</f>
        <v>29091.399999999998</v>
      </c>
      <c r="E6" s="20">
        <f t="shared" si="0"/>
        <v>35905.900000000009</v>
      </c>
      <c r="F6" s="20">
        <f t="shared" si="0"/>
        <v>43780.600000000006</v>
      </c>
      <c r="G6" s="20">
        <f t="shared" si="0"/>
        <v>33837.4</v>
      </c>
    </row>
    <row r="7" spans="2:7" ht="14.25" customHeight="1" x14ac:dyDescent="0.25">
      <c r="B7" s="116"/>
      <c r="C7" s="120" t="s">
        <v>231</v>
      </c>
      <c r="D7" s="19"/>
      <c r="E7" s="19"/>
      <c r="F7" s="19"/>
      <c r="G7" s="19"/>
    </row>
    <row r="8" spans="2:7" ht="26.25" customHeight="1" x14ac:dyDescent="0.25">
      <c r="B8" s="116" t="s">
        <v>232</v>
      </c>
      <c r="C8" s="121" t="s">
        <v>233</v>
      </c>
      <c r="D8" s="117">
        <f>SUMIF('007 programa 3 lentelė'!$C6:$C238,'007 programa 3 lentelė'!$C13,'007 programa 3 lentelė'!E6:E238)</f>
        <v>19819.5</v>
      </c>
      <c r="E8" s="117">
        <f>SUMIF('007 programa 3 lentelė'!$C6:$C238,'007 programa 3 lentelė'!$C13,'007 programa 3 lentelė'!F6:F238)</f>
        <v>31113.3</v>
      </c>
      <c r="F8" s="117">
        <f>SUMIF('007 programa 3 lentelė'!$C6:$C238,'007 programa 3 lentelė'!$C13,'007 programa 3 lentelė'!G6:G238)</f>
        <v>23262.500000000004</v>
      </c>
      <c r="G8" s="117">
        <f>SUMIF('007 programa 3 lentelė'!$C6:$C238,'007 programa 3 lentelė'!$C13,'007 programa 3 lentelė'!H6:H238)</f>
        <v>27787.000000000004</v>
      </c>
    </row>
    <row r="9" spans="2:7" ht="12.75" customHeight="1" x14ac:dyDescent="0.25">
      <c r="B9" s="116" t="s">
        <v>234</v>
      </c>
      <c r="C9" s="118" t="s">
        <v>133</v>
      </c>
      <c r="D9" s="117">
        <f>SUMIF('007 programa 3 lentelė'!$C6:$C238,'007 programa 3 lentelė'!$C178,'007 programa 3 lentelė'!E6:E238)</f>
        <v>3206.3</v>
      </c>
      <c r="E9" s="117">
        <f>SUMIF('007 programa 3 lentelė'!$C6:$C238,'007 programa 3 lentelė'!$C178,'007 programa 3 lentelė'!F6:F238)</f>
        <v>2005</v>
      </c>
      <c r="F9" s="117">
        <f>SUMIF('007 programa 3 lentelė'!$C6:$C238,'007 programa 3 lentelė'!$C178,'007 programa 3 lentelė'!G6:G238)</f>
        <v>2506.8000000000002</v>
      </c>
      <c r="G9" s="117">
        <f>SUMIF('007 programa 3 lentelė'!$C6:$C238,'007 programa 3 lentelė'!$C178,'007 programa 3 lentelė'!H6:H238)</f>
        <v>3153</v>
      </c>
    </row>
    <row r="10" spans="2:7" ht="13.5" customHeight="1" x14ac:dyDescent="0.25">
      <c r="B10" s="116" t="s">
        <v>235</v>
      </c>
      <c r="C10" s="118" t="s">
        <v>236</v>
      </c>
      <c r="D10" s="117">
        <f>SUMIF('007 programa 3 lentelė'!$C6:$C238,'007 programa 3 lentelė'!$C57,'007 programa 3 lentelė'!E6:E238)</f>
        <v>825.1</v>
      </c>
      <c r="E10" s="117">
        <f>SUMIF('007 programa 3 lentelė'!$C6:$C238,'007 programa 3 lentelė'!$C57,'007 programa 3 lentelė'!F6:F238)</f>
        <v>742.3</v>
      </c>
      <c r="F10" s="117">
        <f>SUMIF('007 programa 3 lentelė'!$C6:$C238,'007 programa 3 lentelė'!$C57,'007 programa 3 lentelė'!G6:G238)</f>
        <v>757.3</v>
      </c>
      <c r="G10" s="117">
        <f>SUMIF('007 programa 3 lentelė'!$C6:$C238,'007 programa 3 lentelė'!$C57,'007 programa 3 lentelė'!H6:H238)</f>
        <v>757.3</v>
      </c>
    </row>
    <row r="11" spans="2:7" ht="27" customHeight="1" x14ac:dyDescent="0.25">
      <c r="B11" s="116" t="s">
        <v>237</v>
      </c>
      <c r="C11" s="118" t="s">
        <v>144</v>
      </c>
      <c r="D11" s="117">
        <f>SUMIF('007 programa 3 lentelė'!$C6:$C238,'007 programa 3 lentelė'!$C144,'007 programa 3 lentelė'!E6:E238)</f>
        <v>302.10000000000002</v>
      </c>
      <c r="E11" s="117">
        <f>SUMIF('007 programa 3 lentelė'!$C6:$C238,'007 programa 3 lentelė'!$C144,'007 programa 3 lentelė'!F6:F238)</f>
        <v>0</v>
      </c>
      <c r="F11" s="117">
        <f>SUMIF('007 programa 3 lentelė'!$C6:$C238,'007 programa 3 lentelė'!$C144,'007 programa 3 lentelė'!G6:G238)</f>
        <v>0</v>
      </c>
      <c r="G11" s="117">
        <f>SUMIF('007 programa 3 lentelė'!$C6:$C238,'007 programa 3 lentelė'!$C144,'007 programa 3 lentelė'!H6:H238)</f>
        <v>0</v>
      </c>
    </row>
    <row r="12" spans="2:7" ht="12.75" customHeight="1" x14ac:dyDescent="0.25">
      <c r="B12" s="116" t="s">
        <v>238</v>
      </c>
      <c r="C12" s="118" t="s">
        <v>239</v>
      </c>
      <c r="D12" s="117">
        <f>SUMIF('007 programa 3 lentelė'!$C6:$C238,'007 programa 3 lentelė'!$C23,'007 programa 3 lentelė'!E6:E238)</f>
        <v>1053.4000000000001</v>
      </c>
      <c r="E12" s="117">
        <f>SUMIF('007 programa 3 lentelė'!$C6:$C238,'007 programa 3 lentelė'!$C23,'007 programa 3 lentelė'!F6:F238)</f>
        <v>0</v>
      </c>
      <c r="F12" s="117">
        <f>SUMIF('007 programa 3 lentelė'!$C6:$C238,'007 programa 3 lentelė'!$C23,'007 programa 3 lentelė'!G6:G238)</f>
        <v>8291</v>
      </c>
      <c r="G12" s="117">
        <f>SUMIF('007 programa 3 lentelė'!$C6:$C238,'007 programa 3 lentelė'!$C23,'007 programa 3 lentelė'!H6:H238)</f>
        <v>2140.1</v>
      </c>
    </row>
    <row r="13" spans="2:7" ht="12.75" customHeight="1" x14ac:dyDescent="0.25">
      <c r="B13" s="116" t="s">
        <v>240</v>
      </c>
      <c r="C13" s="118" t="s">
        <v>241</v>
      </c>
      <c r="D13" s="117">
        <f>SUMIF('007 programa 3 lentelė'!$C6:$C238,'007 programa 3 lentelė'!$C10,'007 programa 3 lentelė'!E6:E238)</f>
        <v>3885</v>
      </c>
      <c r="E13" s="117">
        <f>SUMIF('007 programa 3 lentelė'!$C6:$C238,'007 programa 3 lentelė'!$C10,'007 programa 3 lentelė'!F6:F238)</f>
        <v>2045.3</v>
      </c>
      <c r="F13" s="117">
        <f>SUMIF('007 programa 3 lentelė'!$C6:$C238,'007 programa 3 lentelė'!$C10,'007 programa 3 lentelė'!G6:G238)</f>
        <v>8963</v>
      </c>
      <c r="G13" s="117">
        <f>SUMIF('007 programa 3 lentelė'!$C6:$C238,'007 programa 3 lentelė'!$C10,'007 programa 3 lentelė'!H6:H238)</f>
        <v>0</v>
      </c>
    </row>
    <row r="14" spans="2:7" ht="42" customHeight="1" x14ac:dyDescent="0.25">
      <c r="B14" s="114" t="s">
        <v>242</v>
      </c>
      <c r="C14" s="120" t="s">
        <v>243</v>
      </c>
      <c r="D14" s="119">
        <f t="shared" ref="D14:G14" si="1">+D16+D17+D18+D19+D20+D21</f>
        <v>20.8</v>
      </c>
      <c r="E14" s="119">
        <f t="shared" si="1"/>
        <v>722</v>
      </c>
      <c r="F14" s="119">
        <f t="shared" si="1"/>
        <v>3904.8</v>
      </c>
      <c r="G14" s="119">
        <f t="shared" si="1"/>
        <v>4622.1000000000004</v>
      </c>
    </row>
    <row r="15" spans="2:7" ht="17.25" customHeight="1" x14ac:dyDescent="0.25">
      <c r="B15" s="116"/>
      <c r="C15" s="120" t="s">
        <v>231</v>
      </c>
      <c r="D15" s="19"/>
      <c r="E15" s="19"/>
      <c r="F15" s="19"/>
      <c r="G15" s="19"/>
    </row>
    <row r="16" spans="2:7" ht="12.75" customHeight="1" x14ac:dyDescent="0.25">
      <c r="B16" s="116" t="s">
        <v>244</v>
      </c>
      <c r="C16" s="122" t="s">
        <v>245</v>
      </c>
      <c r="D16" s="117" cm="1">
        <f t="array" ref="D16">SUMIF('007 programa 3 lentelė'!$C6:$C238,'007 programa 3 lentelė'!C00,'007 programa 3 lentelė'!E6:E238)</f>
        <v>0</v>
      </c>
      <c r="E16" s="117">
        <f>SUMIF('007 programa 3 lentelė'!$C6:$C238,'007 programa 3 lentelė'!C16,'007 programa 3 lentelė'!F6:F238)</f>
        <v>341.40000000000003</v>
      </c>
      <c r="F16" s="117">
        <f>SUMIF('007 programa 3 lentelė'!$C6:$C238,'007 programa 3 lentelė'!C16,'007 programa 3 lentelė'!G6:G238)</f>
        <v>3904.8</v>
      </c>
      <c r="G16" s="117">
        <f>SUMIF('007 programa 3 lentelė'!$C6:$C238,'007 programa 3 lentelė'!C16,'007 programa 3 lentelė'!H6:H238)</f>
        <v>4622.1000000000004</v>
      </c>
    </row>
    <row r="17" spans="2:9" ht="12.75" customHeight="1" x14ac:dyDescent="0.25">
      <c r="B17" s="116" t="s">
        <v>246</v>
      </c>
      <c r="C17" s="122" t="s">
        <v>247</v>
      </c>
      <c r="D17" s="117" cm="1">
        <f t="array" ref="D17">SUMIF('007 programa 3 lentelė'!$C6:$C238,'007 programa 3 lentelė'!C00,'007 programa 3 lentelė'!E6:E238)</f>
        <v>0</v>
      </c>
      <c r="E17" s="117" cm="1">
        <f t="array" ref="E17">SUMIF('007 programa 3 lentelė'!$C6:$C238,'007 programa 3 lentelė'!C00,'007 programa 3 lentelė'!F6:F238)</f>
        <v>0</v>
      </c>
      <c r="F17" s="117" cm="1">
        <f t="array" ref="F17">SUMIF('007 programa 3 lentelė'!$C6:$C238,'007 programa 3 lentelė'!C00,'007 programa 3 lentelė'!G6:G238)</f>
        <v>0</v>
      </c>
      <c r="G17" s="117" cm="1">
        <f t="array" ref="G17">SUMIF('007 programa 3 lentelė'!$C6:$C238,'007 programa 3 lentelė'!C00,'007 programa 3 lentelė'!H6:H238)</f>
        <v>0</v>
      </c>
    </row>
    <row r="18" spans="2:9" ht="26.25" customHeight="1" x14ac:dyDescent="0.25">
      <c r="B18" s="116" t="s">
        <v>248</v>
      </c>
      <c r="C18" s="122" t="s">
        <v>249</v>
      </c>
      <c r="D18" s="117" cm="1">
        <f t="array" ref="D18">SUMIF('007 programa 3 lentelė'!$C6:$C238,'007 programa 3 lentelė'!C00,'007 programa 3 lentelė'!E6:E238)</f>
        <v>0</v>
      </c>
      <c r="E18" s="117" cm="1">
        <f t="array" ref="E18">SUMIF('007 programa 3 lentelė'!$C6:$C238,'007 programa 3 lentelė'!C00,'007 programa 3 lentelė'!F6:F238)</f>
        <v>0</v>
      </c>
      <c r="F18" s="117" cm="1">
        <f t="array" ref="F18">SUMIF('007 programa 3 lentelė'!$C6:$C238,'007 programa 3 lentelė'!C00,'007 programa 3 lentelė'!G6:G238)</f>
        <v>0</v>
      </c>
      <c r="G18" s="117" cm="1">
        <f t="array" ref="G18">SUMIF('007 programa 3 lentelė'!$C6:$C238,'007 programa 3 lentelė'!C00,'007 programa 3 lentelė'!H6:H238)</f>
        <v>0</v>
      </c>
    </row>
    <row r="19" spans="2:9" ht="12.75" customHeight="1" x14ac:dyDescent="0.25">
      <c r="B19" s="116" t="s">
        <v>250</v>
      </c>
      <c r="C19" s="122" t="s">
        <v>251</v>
      </c>
      <c r="D19" s="117">
        <f>SUMIF('007 programa 3 lentelė'!$C6:$C238,'007 programa 3 lentelė'!C199,'007 programa 3 lentelė'!E6:E238)</f>
        <v>0</v>
      </c>
      <c r="E19" s="117">
        <f>SUMIF('007 programa 3 lentelė'!$C6:$C238,'007 programa 3 lentelė'!C190,'007 programa 3 lentelė'!F6:F238)</f>
        <v>285.60000000000002</v>
      </c>
      <c r="F19" s="117">
        <f>SUMIF('007 programa 3 lentelė'!$C6:$C238,'007 programa 3 lentelė'!E199,'007 programa 3 lentelė'!G6:G238)</f>
        <v>0</v>
      </c>
      <c r="G19" s="117">
        <f>SUMIF('007 programa 3 lentelė'!$C6:$C238,'007 programa 3 lentelė'!F199,'007 programa 3 lentelė'!H6:H238)</f>
        <v>0</v>
      </c>
    </row>
    <row r="20" spans="2:9" ht="12.75" customHeight="1" x14ac:dyDescent="0.25">
      <c r="B20" s="116" t="s">
        <v>252</v>
      </c>
      <c r="C20" s="122" t="s">
        <v>75</v>
      </c>
      <c r="D20" s="117">
        <f>SUMIF('007 programa 3 lentelė'!$C6:$C238,'007 programa 3 lentelė'!$C135,'007 programa 3 lentelė'!E6:E238)</f>
        <v>20.8</v>
      </c>
      <c r="E20" s="117">
        <f>SUMIF('007 programa 3 lentelė'!$C6:$C238,'007 programa 3 lentelė'!$C135,'007 programa 3 lentelė'!F6:F238)</f>
        <v>95</v>
      </c>
      <c r="F20" s="117">
        <f>SUMIF('007 programa 3 lentelė'!$C6:$C238,'007 programa 3 lentelė'!$C135,'007 programa 3 lentelė'!G6:G238)</f>
        <v>0</v>
      </c>
      <c r="G20" s="117">
        <f>SUMIF('007 programa 3 lentelė'!$C6:$C238,'007 programa 3 lentelė'!$C135,'007 programa 3 lentelė'!H6:H238)</f>
        <v>0</v>
      </c>
    </row>
    <row r="21" spans="2:9" ht="12.75" customHeight="1" x14ac:dyDescent="0.25">
      <c r="B21" s="116" t="s">
        <v>253</v>
      </c>
      <c r="C21" s="122" t="s">
        <v>254</v>
      </c>
      <c r="D21" s="117">
        <f>SUMIF('007 programa 3 lentelė'!$C6:$C238,'007 programa 3 lentelė'!#REF!,'007 programa 3 lentelė'!E6:E238)</f>
        <v>0</v>
      </c>
      <c r="E21" s="117">
        <f>SUMIF('007 programa 3 lentelė'!$C6:$C238,'007 programa 3 lentelė'!#REF!,'007 programa 3 lentelė'!F6:F238)</f>
        <v>0</v>
      </c>
      <c r="F21" s="117">
        <f>SUMIF('007 programa 3 lentelė'!$C6:$C238,'007 programa 3 lentelė'!#REF!,'007 programa 3 lentelė'!G6:G238)</f>
        <v>0</v>
      </c>
      <c r="G21" s="117">
        <f>SUMIF('007 programa 3 lentelė'!$C6:$C238,'007 programa 3 lentelė'!#REF!,'007 programa 3 lentelė'!H6:H238)</f>
        <v>0</v>
      </c>
    </row>
    <row r="22" spans="2:9" ht="26.4" x14ac:dyDescent="0.25">
      <c r="B22" s="116"/>
      <c r="C22" s="118" t="s">
        <v>255</v>
      </c>
      <c r="D22" s="20">
        <f>+D6+D14</f>
        <v>29112.199999999997</v>
      </c>
      <c r="E22" s="20">
        <f t="shared" ref="E22:G22" si="2">+E6+E14</f>
        <v>36627.900000000009</v>
      </c>
      <c r="F22" s="20">
        <f>+F6+F14</f>
        <v>47685.400000000009</v>
      </c>
      <c r="G22" s="20">
        <f t="shared" si="2"/>
        <v>38459.5</v>
      </c>
    </row>
    <row r="23" spans="2:9" ht="12.75" customHeight="1" x14ac:dyDescent="0.25">
      <c r="B23" s="211"/>
      <c r="C23" s="212" t="s">
        <v>218</v>
      </c>
      <c r="D23" s="213">
        <f>+'007 programa 3 lentelė'!E238</f>
        <v>47.7</v>
      </c>
      <c r="E23" s="213">
        <f>+'007 programa 3 lentelė'!F238</f>
        <v>1445.8</v>
      </c>
      <c r="F23" s="213">
        <f>+'007 programa 3 lentelė'!G238</f>
        <v>5280.8</v>
      </c>
      <c r="G23" s="213">
        <f>+'007 programa 3 lentelė'!H238</f>
        <v>715.1</v>
      </c>
    </row>
    <row r="24" spans="2:9" ht="28.5" customHeight="1" x14ac:dyDescent="0.25">
      <c r="B24" s="209"/>
      <c r="C24" s="90" t="s">
        <v>219</v>
      </c>
      <c r="D24" s="210"/>
      <c r="E24" s="210">
        <f>+E22-D22</f>
        <v>7515.7000000000116</v>
      </c>
      <c r="F24" s="210">
        <f t="shared" ref="F24:G24" si="3">+F22-E22</f>
        <v>11057.5</v>
      </c>
      <c r="G24" s="210">
        <f t="shared" si="3"/>
        <v>-9225.9000000000087</v>
      </c>
    </row>
    <row r="25" spans="2:9" x14ac:dyDescent="0.25">
      <c r="B25" s="30"/>
      <c r="C25" s="30"/>
      <c r="D25" s="30"/>
      <c r="E25" s="30"/>
      <c r="F25" s="30"/>
      <c r="G25" s="30"/>
    </row>
    <row r="26" spans="2:9" x14ac:dyDescent="0.25">
      <c r="D26" s="330">
        <f>+D22-'007 programa 3 lentelė'!E237</f>
        <v>0</v>
      </c>
      <c r="E26" s="330">
        <f>+E22-'007 programa 3 lentelė'!F237</f>
        <v>0</v>
      </c>
      <c r="F26" s="330">
        <f>+F22-'007 programa 3 lentelė'!G237</f>
        <v>0</v>
      </c>
      <c r="G26" s="330">
        <f>+G22-'007 programa 3 lentelė'!H237</f>
        <v>0</v>
      </c>
      <c r="H26" s="331"/>
      <c r="I26" s="331"/>
    </row>
    <row r="28" spans="2:9" x14ac:dyDescent="0.25">
      <c r="E28" s="140"/>
    </row>
  </sheetData>
  <mergeCells count="2">
    <mergeCell ref="B5:G5"/>
    <mergeCell ref="B1:G1"/>
  </mergeCells>
  <pageMargins left="0.7" right="0.7" top="0.75" bottom="0.75" header="0.3" footer="0.3"/>
  <pageSetup paperSize="9"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2</vt:i4>
      </vt:variant>
      <vt:variant>
        <vt:lpstr>Įvardytieji diapazonai</vt:lpstr>
      </vt:variant>
      <vt:variant>
        <vt:i4>2</vt:i4>
      </vt:variant>
    </vt:vector>
  </HeadingPairs>
  <TitlesOfParts>
    <vt:vector size="4" baseType="lpstr">
      <vt:lpstr>007 programa 3 lentelė</vt:lpstr>
      <vt:lpstr>Lėšų suvestinė 2 lentelė</vt:lpstr>
      <vt:lpstr>'007 programa 3 lentelė'!Print_Area</vt:lpstr>
      <vt:lpstr>'007 programa 3 lentelė'!Print_Titles</vt:lpstr>
    </vt:vector>
  </TitlesOfParts>
  <Manager/>
  <Company>KMSA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Snieguolė Kačerauskaitė</dc:creator>
  <cp:keywords/>
  <dc:description/>
  <cp:lastModifiedBy>Snieguolė Kačerauskaitė</cp:lastModifiedBy>
  <cp:revision/>
  <cp:lastPrinted>2024-12-19T16:08:51Z</cp:lastPrinted>
  <dcterms:created xsi:type="dcterms:W3CDTF">2023-07-11T10:34:54Z</dcterms:created>
  <dcterms:modified xsi:type="dcterms:W3CDTF">2024-12-20T06:53:30Z</dcterms:modified>
  <cp:category/>
  <cp:contentStatus/>
</cp:coreProperties>
</file>