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F2A23CCA-74F4-420A-B3BC-C8F9907CDD2F}" xr6:coauthVersionLast="47" xr6:coauthVersionMax="47" xr10:uidLastSave="{00000000-0000-0000-0000-000000000000}"/>
  <bookViews>
    <workbookView xWindow="-108" yWindow="-108" windowWidth="23256" windowHeight="12456" xr2:uid="{FEA9E383-1DE5-4AFE-98A8-7A94D3659092}"/>
  </bookViews>
  <sheets>
    <sheet name="005 programa 3 lentelė" sheetId="1" r:id="rId1"/>
    <sheet name="Lėšų suvestinė 2 lentelė" sheetId="3" r:id="rId2"/>
  </sheets>
  <definedNames>
    <definedName name="_xlnm.Print_Area" localSheetId="0">'005 programa 3 lentelė'!$A$1:$I$208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3" l="1"/>
  <c r="F12" i="3"/>
  <c r="G12" i="3"/>
  <c r="D12" i="3"/>
  <c r="E159" i="1"/>
  <c r="E126" i="1"/>
  <c r="E124" i="1"/>
  <c r="F163" i="1"/>
  <c r="G163" i="1"/>
  <c r="H163" i="1"/>
  <c r="E163" i="1"/>
  <c r="G136" i="1"/>
  <c r="G161" i="1" s="1"/>
  <c r="F125" i="1"/>
  <c r="F122" i="1" s="1"/>
  <c r="G125" i="1"/>
  <c r="G122" i="1" s="1"/>
  <c r="H125" i="1"/>
  <c r="H122" i="1" s="1"/>
  <c r="E125" i="1"/>
  <c r="E122" i="1" s="1"/>
  <c r="G119" i="1"/>
  <c r="F44" i="1"/>
  <c r="G44" i="1"/>
  <c r="H44" i="1"/>
  <c r="E44" i="1"/>
  <c r="F85" i="1"/>
  <c r="H74" i="1"/>
  <c r="G74" i="1"/>
  <c r="E74" i="1"/>
  <c r="F74" i="1"/>
  <c r="F88" i="1"/>
  <c r="E155" i="1"/>
  <c r="E147" i="1"/>
  <c r="E134" i="1"/>
  <c r="H85" i="1"/>
  <c r="G85" i="1"/>
  <c r="F153" i="1"/>
  <c r="F161" i="1" s="1"/>
  <c r="H194" i="1"/>
  <c r="G194" i="1"/>
  <c r="F194" i="1"/>
  <c r="E194" i="1"/>
  <c r="H191" i="1"/>
  <c r="G191" i="1"/>
  <c r="F191" i="1"/>
  <c r="H190" i="1"/>
  <c r="G190" i="1"/>
  <c r="F190" i="1"/>
  <c r="E190" i="1"/>
  <c r="H168" i="1"/>
  <c r="G168" i="1"/>
  <c r="F168" i="1"/>
  <c r="E168" i="1"/>
  <c r="H167" i="1"/>
  <c r="G167" i="1"/>
  <c r="F167" i="1"/>
  <c r="E167" i="1"/>
  <c r="H162" i="1"/>
  <c r="G162" i="1"/>
  <c r="F162" i="1"/>
  <c r="F164" i="1"/>
  <c r="G164" i="1"/>
  <c r="H164" i="1"/>
  <c r="E162" i="1"/>
  <c r="H161" i="1"/>
  <c r="G98" i="1"/>
  <c r="F98" i="1"/>
  <c r="G39" i="1"/>
  <c r="F40" i="1"/>
  <c r="E21" i="3"/>
  <c r="F21" i="3"/>
  <c r="G21" i="3"/>
  <c r="D21" i="3"/>
  <c r="H196" i="1"/>
  <c r="G129" i="1"/>
  <c r="F129" i="1"/>
  <c r="H124" i="1"/>
  <c r="G124" i="1"/>
  <c r="F124" i="1"/>
  <c r="H10" i="1"/>
  <c r="G10" i="1"/>
  <c r="E184" i="1"/>
  <c r="E182" i="1"/>
  <c r="E150" i="1"/>
  <c r="E140" i="1"/>
  <c r="E136" i="1"/>
  <c r="E119" i="1"/>
  <c r="E90" i="1"/>
  <c r="E83" i="1"/>
  <c r="E81" i="1"/>
  <c r="E19" i="1"/>
  <c r="E16" i="1"/>
  <c r="E11" i="1"/>
  <c r="E91" i="1"/>
  <c r="G53" i="1"/>
  <c r="E141" i="1"/>
  <c r="E23" i="1"/>
  <c r="E22" i="1"/>
  <c r="E10" i="1"/>
  <c r="G196" i="1" l="1"/>
  <c r="H159" i="1"/>
  <c r="G159" i="1"/>
  <c r="F159" i="1"/>
  <c r="E191" i="1"/>
  <c r="E43" i="1"/>
  <c r="F196" i="1"/>
  <c r="E23" i="3" s="1"/>
  <c r="E161" i="1"/>
  <c r="E196" i="1"/>
  <c r="E108" i="1"/>
  <c r="G23" i="3"/>
  <c r="F23" i="3"/>
  <c r="E20" i="3" l="1"/>
  <c r="F20" i="3"/>
  <c r="G20" i="3"/>
  <c r="D20" i="3"/>
  <c r="F77" i="1"/>
  <c r="F75" i="1" s="1"/>
  <c r="G77" i="1"/>
  <c r="G75" i="1" s="1"/>
  <c r="H77" i="1"/>
  <c r="H75" i="1" s="1"/>
  <c r="E77" i="1"/>
  <c r="E75" i="1" s="1"/>
  <c r="F73" i="1"/>
  <c r="F71" i="1" s="1"/>
  <c r="G73" i="1"/>
  <c r="G71" i="1" s="1"/>
  <c r="H73" i="1"/>
  <c r="H71" i="1" s="1"/>
  <c r="E73" i="1"/>
  <c r="E71" i="1" s="1"/>
  <c r="E13" i="3"/>
  <c r="F13" i="3"/>
  <c r="G13" i="3"/>
  <c r="E9" i="3"/>
  <c r="E19" i="3"/>
  <c r="E11" i="3" a="1"/>
  <c r="E11" i="3" s="1"/>
  <c r="G19" i="3"/>
  <c r="G18" i="3" a="1"/>
  <c r="G18" i="3" s="1"/>
  <c r="G17" i="3" a="1"/>
  <c r="G17" i="3" s="1"/>
  <c r="G16" i="3"/>
  <c r="G11" i="3" a="1"/>
  <c r="G11" i="3" s="1"/>
  <c r="G10" i="3" a="1"/>
  <c r="G10" i="3" s="1"/>
  <c r="G9" i="3"/>
  <c r="G8" i="3"/>
  <c r="F19" i="3"/>
  <c r="F18" i="3" a="1"/>
  <c r="F18" i="3" s="1"/>
  <c r="F17" i="3" a="1"/>
  <c r="F17" i="3" s="1"/>
  <c r="F16" i="3"/>
  <c r="F11" i="3" a="1"/>
  <c r="F11" i="3" s="1"/>
  <c r="F10" i="3" a="1"/>
  <c r="F10" i="3" s="1"/>
  <c r="F9" i="3"/>
  <c r="F8" i="3"/>
  <c r="E18" i="3" a="1"/>
  <c r="E18" i="3" s="1"/>
  <c r="E17" i="3" a="1"/>
  <c r="E17" i="3" s="1"/>
  <c r="E16" i="3"/>
  <c r="E10" i="3"/>
  <c r="E14" i="3" l="1"/>
  <c r="G14" i="3"/>
  <c r="G6" i="3"/>
  <c r="F14" i="3"/>
  <c r="D23" i="3"/>
  <c r="D19" i="3"/>
  <c r="D18" i="3" a="1"/>
  <c r="D18" i="3" s="1"/>
  <c r="D17" i="3" a="1"/>
  <c r="D17" i="3" s="1"/>
  <c r="D16" i="3"/>
  <c r="D11" i="3" a="1"/>
  <c r="D11" i="3" s="1"/>
  <c r="D10" i="3" a="1"/>
  <c r="D10" i="3" s="1"/>
  <c r="D9" i="3"/>
  <c r="G22" i="3" l="1"/>
  <c r="H178" i="1"/>
  <c r="H192" i="1" l="1"/>
  <c r="H188" i="1"/>
  <c r="H177" i="1"/>
  <c r="H175" i="1" s="1"/>
  <c r="H129" i="1"/>
  <c r="H127" i="1" s="1"/>
  <c r="H126" i="1"/>
  <c r="H102" i="1"/>
  <c r="H101" i="1"/>
  <c r="H49" i="1"/>
  <c r="H48" i="1"/>
  <c r="H45" i="1"/>
  <c r="H43" i="1"/>
  <c r="H41" i="1" s="1"/>
  <c r="H99" i="1" l="1"/>
  <c r="H165" i="1"/>
  <c r="H46" i="1"/>
  <c r="H195" i="1" l="1"/>
  <c r="E177" i="1" l="1"/>
  <c r="F101" i="1" l="1"/>
  <c r="G101" i="1"/>
  <c r="E102" i="1"/>
  <c r="E49" i="1"/>
  <c r="F49" i="1"/>
  <c r="G49" i="1"/>
  <c r="E48" i="1"/>
  <c r="F48" i="1"/>
  <c r="G48" i="1"/>
  <c r="E45" i="1"/>
  <c r="E41" i="1" s="1"/>
  <c r="F45" i="1"/>
  <c r="G45" i="1"/>
  <c r="G43" i="1"/>
  <c r="F43" i="1"/>
  <c r="F41" i="1" s="1"/>
  <c r="F46" i="1" l="1"/>
  <c r="G41" i="1"/>
  <c r="E46" i="1"/>
  <c r="E164" i="1"/>
  <c r="G126" i="1"/>
  <c r="F126" i="1"/>
  <c r="E192" i="1"/>
  <c r="F192" i="1"/>
  <c r="G192" i="1"/>
  <c r="E188" i="1"/>
  <c r="E178" i="1"/>
  <c r="E175" i="1" s="1"/>
  <c r="F178" i="1"/>
  <c r="G178" i="1"/>
  <c r="F177" i="1"/>
  <c r="G177" i="1"/>
  <c r="E129" i="1"/>
  <c r="E127" i="1" s="1"/>
  <c r="F127" i="1"/>
  <c r="G127" i="1"/>
  <c r="F102" i="1"/>
  <c r="G102" i="1"/>
  <c r="G175" i="1" l="1"/>
  <c r="F175" i="1"/>
  <c r="D8" i="3"/>
  <c r="E101" i="1"/>
  <c r="E99" i="1" s="1"/>
  <c r="E8" i="3"/>
  <c r="E6" i="3" s="1"/>
  <c r="E22" i="3" s="1"/>
  <c r="D13" i="3"/>
  <c r="F188" i="1"/>
  <c r="G188" i="1"/>
  <c r="F165" i="1"/>
  <c r="F99" i="1"/>
  <c r="G165" i="1"/>
  <c r="G99" i="1"/>
  <c r="F6" i="3"/>
  <c r="E165" i="1"/>
  <c r="D14" i="3"/>
  <c r="G46" i="1"/>
  <c r="D6" i="3" l="1"/>
  <c r="D22" i="3" s="1"/>
  <c r="E195" i="1"/>
  <c r="F195" i="1"/>
  <c r="F197" i="1" l="1"/>
  <c r="E24" i="3" s="1"/>
  <c r="G195" i="1"/>
  <c r="H197" i="1" s="1"/>
  <c r="G24" i="3" s="1"/>
  <c r="G197" i="1" l="1"/>
  <c r="F24" i="3" s="1"/>
  <c r="F2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Mikalauskienė</author>
    <author>Saulina Paulauskienė</author>
    <author>Rima Ališauskė</author>
  </authors>
  <commentList>
    <comment ref="C33" authorId="0" shapeId="0" xr:uid="{6926F6E0-2489-4DAC-8297-EFB00C902613}">
      <text>
        <r>
          <rPr>
            <sz val="11"/>
            <color theme="1"/>
            <rFont val="Calibri"/>
            <family val="2"/>
            <charset val="186"/>
            <scheme val="minor"/>
          </rPr>
          <t>Pareiškėjas KRATC</t>
        </r>
      </text>
    </comment>
    <comment ref="C88" authorId="1" shapeId="0" xr:uid="{96960D93-FFDD-4FD0-9CCC-41711BBE1AEC}">
      <text>
        <r>
          <rPr>
            <sz val="11"/>
            <color theme="1"/>
            <rFont val="Calibri"/>
            <family val="2"/>
            <charset val="186"/>
            <scheme val="minor"/>
          </rPr>
          <t>AMTS</t>
        </r>
      </text>
    </comment>
    <comment ref="C89" authorId="1" shapeId="0" xr:uid="{13C217BF-3AB8-46AC-A22D-8D96FAE5CAAD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AMTS
</t>
        </r>
      </text>
    </comment>
    <comment ref="C90" authorId="1" shapeId="0" xr:uid="{34BF09C1-0316-4136-A561-B20D0D3903EE}">
      <text>
        <r>
          <rPr>
            <sz val="11"/>
            <color theme="1"/>
            <rFont val="Calibri"/>
            <family val="2"/>
            <charset val="186"/>
            <scheme val="minor"/>
          </rPr>
          <t>BĮ Klaipėdos paplūdimiai</t>
        </r>
      </text>
    </comment>
    <comment ref="C91" authorId="1" shapeId="0" xr:uid="{99E10ED3-46D0-4000-A9D2-B9D1114C5523}">
      <text>
        <r>
          <rPr>
            <sz val="11"/>
            <color theme="1"/>
            <rFont val="Calibri"/>
            <family val="2"/>
            <charset val="186"/>
            <scheme val="minor"/>
          </rPr>
          <t>BĮ Klaipėdos paplūdimiai</t>
        </r>
      </text>
    </comment>
    <comment ref="C93" authorId="1" shapeId="0" xr:uid="{41F04FD9-136E-4286-AE7A-4290248C3D42}">
      <text>
        <r>
          <rPr>
            <sz val="11"/>
            <color theme="1"/>
            <rFont val="Calibri"/>
            <family val="2"/>
            <charset val="186"/>
            <scheme val="minor"/>
          </rPr>
          <t>BĮ Klaipėdos paplūdimiai</t>
        </r>
      </text>
    </comment>
    <comment ref="C94" authorId="1" shapeId="0" xr:uid="{A83B3978-E913-4D7B-91E9-ABDA2A118556}">
      <text>
        <r>
          <rPr>
            <sz val="11"/>
            <color theme="1"/>
            <rFont val="Calibri"/>
            <family val="2"/>
            <charset val="186"/>
            <scheme val="minor"/>
          </rPr>
          <t>BĮ Klaipėdos paplūdimiai</t>
        </r>
      </text>
    </comment>
    <comment ref="H132" authorId="2" shapeId="0" xr:uid="{1CDF0287-831B-47A0-B0DE-39F3EF272BD2}">
      <text>
        <r>
          <rPr>
            <sz val="11"/>
            <color theme="1"/>
            <rFont val="Calibri"/>
            <family val="2"/>
            <charset val="186"/>
            <scheme val="minor"/>
          </rPr>
          <t>V etapas
Naujojo uosto g. pėsčiųjų ir dviračių takai)</t>
        </r>
      </text>
    </comment>
    <comment ref="F150" authorId="2" shapeId="0" xr:uid="{0E76B1E2-4924-43C3-AB60-4865469938FC}">
      <text>
        <r>
          <rPr>
            <sz val="11"/>
            <color theme="1"/>
            <rFont val="Calibri"/>
            <family val="2"/>
            <charset val="186"/>
            <scheme val="minor"/>
          </rPr>
          <t>2024 m. nebus gautas statybą leidžiantis dokumentas, todėl lėšos, numatytos galutiniam atsiskaitymui už projektavimo darbus,   perkeliamos į 2025 m.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<sst xmlns="http://schemas.openxmlformats.org/spreadsheetml/2006/main" count="374" uniqueCount="200">
  <si>
    <t xml:space="preserve">Aiškinamojo rašto </t>
  </si>
  <si>
    <t>1 priedas</t>
  </si>
  <si>
    <t>3 lentelė. Klaipėdos miesto savivaldybės 2024–2027 metų 005 Aplinkos apsaugos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</si>
  <si>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</si>
  <si>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</si>
  <si>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</si>
  <si>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</si>
  <si>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</si>
  <si>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</si>
  <si>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</si>
  <si>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</si>
  <si>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005-01 (T)</t>
  </si>
  <si>
    <t>Uždavinys: Tobulinti atliekų tvarkymo sistemą</t>
  </si>
  <si>
    <t>005-01-01 (TP)</t>
  </si>
  <si>
    <t>Priemonė: Komunalinių atliekų tvarkymo organizavimas</t>
  </si>
  <si>
    <t>005-01-01-01</t>
  </si>
  <si>
    <t>Komunalinių atliekų surinkimas ir tvarkymas</t>
  </si>
  <si>
    <t>MVPD
Aplinkosaugos ir miesto tvarkymo skyrius</t>
  </si>
  <si>
    <t xml:space="preserve">Savivaldybės biudžeto lėšos (nuosavos, be ankstesnių metų likučio) </t>
  </si>
  <si>
    <t>Ankstesnių metų likučiai</t>
  </si>
  <si>
    <t>005-01-01-02</t>
  </si>
  <si>
    <t>Komunalinių atliekų surinkimas ir tvarkymas Lėbartų kapinėse</t>
  </si>
  <si>
    <t>005-01-01-03</t>
  </si>
  <si>
    <t>Savavališkai užterštų teritorijų sutvarkymas</t>
  </si>
  <si>
    <t> </t>
  </si>
  <si>
    <t>005-01-01-04</t>
  </si>
  <si>
    <t>Pavojingų atliekų šalinimas</t>
  </si>
  <si>
    <t>AD
Administracinės veiklos, kontrolės ir prevencijos skyrius</t>
  </si>
  <si>
    <t>005-01-01-05</t>
  </si>
  <si>
    <t xml:space="preserve">Visuomenės švietimo atliekų tvarkymo klausimais vykdymas </t>
  </si>
  <si>
    <t>Komunalinių atliekų tvarkymo infrastruktūros plėtra Klaipėdos miesto, Skuodo ir Kretingos rajonų bei Neringos savivaldybėse</t>
  </si>
  <si>
    <t>Projektų skyrius</t>
  </si>
  <si>
    <t>3.3.4.1.</t>
  </si>
  <si>
    <t>005-01-01-06</t>
  </si>
  <si>
    <t>Asbesto turinčių gaminių atliekų surinkimas apvažiavimo būdu, transportavimas ir šalinimas iš gyvenamųjų bei viešosios paskirties pastatų</t>
  </si>
  <si>
    <t>Kiti šaltiniai (valstybės biudžeto lėšos)</t>
  </si>
  <si>
    <t>005-01-01-07</t>
  </si>
  <si>
    <t>Atliekų surinkimo priemonių įsigijimas</t>
  </si>
  <si>
    <t>005-01-01-08 (RP)</t>
  </si>
  <si>
    <t>Atliekų tvarkymo sistemos plėtra</t>
  </si>
  <si>
    <t>Kiti šaltiniai (Europos Sąjungos paramos lėšos)</t>
  </si>
  <si>
    <t>005-01-01-09</t>
  </si>
  <si>
    <t xml:space="preserve">Komunalinių atliekų tvarkymo infrastruktūros plėtra </t>
  </si>
  <si>
    <t>Savivaldybės biudžetas (įskaitant skolintas lėšas)</t>
  </si>
  <si>
    <t>Iš jo:</t>
  </si>
  <si>
    <t xml:space="preserve">Savivaldybės biudžeto lėšos (nuosavos, be ankstesnių metų likučio)' </t>
  </si>
  <si>
    <t>Ankstesnių metų likučiai'</t>
  </si>
  <si>
    <t xml:space="preserve">Kiti šaltiniai </t>
  </si>
  <si>
    <t>Iš jų:</t>
  </si>
  <si>
    <t>Kiti šaltiniai (Europos Sąjungos paramos lėšos)'</t>
  </si>
  <si>
    <t>Kiti šaltiniai (valstybės biudžeto lėšos)'</t>
  </si>
  <si>
    <t>005-02 (T)</t>
  </si>
  <si>
    <t xml:space="preserve">Uždavinys: Vykdyti gamtinės aplinkos stebėsenos ir gyventojų ekologinio švietimo priemones </t>
  </si>
  <si>
    <t>005-02-01 (TP)</t>
  </si>
  <si>
    <t>Priemonė: Gamtinės aplinkos stebėsenos ir ekologinio švietimo vykdymas</t>
  </si>
  <si>
    <t>005-02-01-01</t>
  </si>
  <si>
    <t>Klaipėdos miesto savivaldybės aplinkos monitoringo vykdymas</t>
  </si>
  <si>
    <t>3.3.5.1.</t>
  </si>
  <si>
    <t>005-02-01-02</t>
  </si>
  <si>
    <t>3.3.2.6.
 3.3.5.1.</t>
  </si>
  <si>
    <t>005-02-01-03</t>
  </si>
  <si>
    <t>005-02-01-04</t>
  </si>
  <si>
    <t>005-02-01-05</t>
  </si>
  <si>
    <t>Strateginio triukšmo žemėlapio parengimas (atnaujinimas)</t>
  </si>
  <si>
    <t>3.3.5.4.</t>
  </si>
  <si>
    <t>005-02-01-06</t>
  </si>
  <si>
    <t>Želdynų ir želdinių apsaugos, priežiūros ir tvarkymo komisijos narių veiklos užtikrinimas</t>
  </si>
  <si>
    <t>Gyvūnų populiacijos gausos reguliavimo paslaugos</t>
  </si>
  <si>
    <t>005-02-01-07</t>
  </si>
  <si>
    <t>Klaipėdos miesto savivaldybės aplinkos oro kokybės stebėjimo (monitoringo) informacinės sistemos sukūrimas, įdiegimas ir palaikymas</t>
  </si>
  <si>
    <t>3.3.5.2.</t>
  </si>
  <si>
    <t>Projekto „Uostamiesčių partnerystė žaliojoje ateityje“ įgyvendinimas</t>
  </si>
  <si>
    <t>Kiti finansavimo šaltiniai</t>
  </si>
  <si>
    <t>Kiti finansavimo šaltiniai'</t>
  </si>
  <si>
    <t>005-03 (T)</t>
  </si>
  <si>
    <t xml:space="preserve">Uždavinys: Prižiūrėti, saugoti ir gausinti miesto poilsio zonų gamtinę aplinką </t>
  </si>
  <si>
    <t>005-03-01 (TP)</t>
  </si>
  <si>
    <t>Priemonė: Miesto vandens telkinių priežiūra</t>
  </si>
  <si>
    <t>005-03-01-01</t>
  </si>
  <si>
    <t>Sanitarinis vandens telkinių valymas</t>
  </si>
  <si>
    <t>005-03-01-02</t>
  </si>
  <si>
    <t>Helofitų (nendrių, švendrių) šalinimas iš vandens telkinių</t>
  </si>
  <si>
    <t>005-03-01-03</t>
  </si>
  <si>
    <t>Smeltalės upės valymo darbai</t>
  </si>
  <si>
    <t>3.3.1.4.</t>
  </si>
  <si>
    <t>005-03-01-04</t>
  </si>
  <si>
    <t>MVPD
Aplinkosaugos ir miesto tvarkymo skyrius,
BĮ „Klaipėdos paplūdimiai“</t>
  </si>
  <si>
    <t>005-03-01-05</t>
  </si>
  <si>
    <t>Danės upės pakrantės tvarkymo darbai</t>
  </si>
  <si>
    <t>005-03-01-06</t>
  </si>
  <si>
    <t>Batimetrinių matavimų atlikimas</t>
  </si>
  <si>
    <t>005-03-01-07</t>
  </si>
  <si>
    <t>Malūno tvenkinio priežiūra ir tvarkymas</t>
  </si>
  <si>
    <t>005-03-02 (PP)</t>
  </si>
  <si>
    <t>Priemonė: Miesto želdynų ir želdinių tvarkymas ir kūrimas</t>
  </si>
  <si>
    <t>005-03-02-01</t>
  </si>
  <si>
    <t>Naujų ir esamų želdynų tvarkymas ir kūrimas</t>
  </si>
  <si>
    <t>3.3.1.2.</t>
  </si>
  <si>
    <t>Želdynų projektavimas</t>
  </si>
  <si>
    <t xml:space="preserve">UAD 
Urbanistikos ir architektūros skyrius      
</t>
  </si>
  <si>
    <t>005-03-02-02 (RP)</t>
  </si>
  <si>
    <t>Žaliosios infrastruktūros plėtojimas Klaipėdos mieste</t>
  </si>
  <si>
    <t>3.3.1.1.</t>
  </si>
  <si>
    <t xml:space="preserve">Projektų skyrius
</t>
  </si>
  <si>
    <t>005-03-02-03 (RP)</t>
  </si>
  <si>
    <t>Urbanizuotos teritorijos  sutvarkymas, įrengiant parką, palei Šilutės plentą</t>
  </si>
  <si>
    <t>005-03-03 (PP)</t>
  </si>
  <si>
    <t>Priemonė: Dviračių ir pėsčiųjų takų plėtra</t>
  </si>
  <si>
    <t>005-03-03-01</t>
  </si>
  <si>
    <t>Pėsčiųjų ir dviračių takų ties Baltijos pr., Šilutės pl., Varpų g., Dubysos g., Liubeko g., Naująja Uosto g. kapitalinis remontas, siekiant didinti rišlumą</t>
  </si>
  <si>
    <t>MVPD
Statybos skyrius</t>
  </si>
  <si>
    <t>3.1.1.2.</t>
  </si>
  <si>
    <t>Lietuvos Respublikos valstybės biudžeto dotacijos</t>
  </si>
  <si>
    <t>005-03-03-02 (RP)</t>
  </si>
  <si>
    <t>Pėsčiųjų ir dviračių takų Minijos g. nuo Baltijos pr. iki Priešpilio g. kapitalinis remontas</t>
  </si>
  <si>
    <t>MVPD
Statybos skyrius,
Projektų skyrius</t>
  </si>
  <si>
    <t>005-03-03-03 (RP)</t>
  </si>
  <si>
    <t>Dviračių ir pėsčiųjų tako įrengimas nuo Sausio 15-osios g. ir Tilžės g. sankryžos iki Taikos pr. ir Sausio 15-osios sankryžos</t>
  </si>
  <si>
    <t>Susisiekimo komunikacijų: gatvės, autobusų sustojimo aikštelės, pėsčiųjų ir dviračių tako Giruliuose Stoties g., Turistų g., Šlaito g. rekonstravimas, kapitalinis remontas</t>
  </si>
  <si>
    <t>Kiti šaltiniai (KPP)</t>
  </si>
  <si>
    <t>Dviračių ir pėsčiųjų takų remontas Prano Lideikio g. nuo Liepojos g. iki Molo g.</t>
  </si>
  <si>
    <t>005-03-03-04</t>
  </si>
  <si>
    <t>Dviračių ir pėsčiųjų takų remontas H. Manto g. ties Dariaus ir Girėno g. viaduku</t>
  </si>
  <si>
    <t>005-03-03-05 (RP)</t>
  </si>
  <si>
    <t>Dviračių ir pėsčiųjų tako įrengimas Smiltelės g. nuo Šilutės pl. iki Minijos g.</t>
  </si>
  <si>
    <r>
      <rPr>
        <sz val="10"/>
        <color theme="1"/>
        <rFont val="Times New Roman"/>
        <family val="1"/>
        <charset val="186"/>
      </rPr>
      <t>MVPD</t>
    </r>
    <r>
      <rPr>
        <b/>
        <sz val="10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Statybos skyrius,
Projektų skyrius</t>
    </r>
  </si>
  <si>
    <t>005-03-03-06</t>
  </si>
  <si>
    <t xml:space="preserve">Dviračių ir pėsčiųjų tako įrengimas Rūko g.   </t>
  </si>
  <si>
    <t>Lietuvos Respublikos valstybės biudžeto dotacijos'</t>
  </si>
  <si>
    <t>Kiti šaltiniai (KPP)'</t>
  </si>
  <si>
    <t>005-03-04 (TP)</t>
  </si>
  <si>
    <t>Priemonė: Pajūrio juostos priežiūra ir apsauga</t>
  </si>
  <si>
    <t>005-03-04-01</t>
  </si>
  <si>
    <t>Medinių laiptų ir takų, vedančių per apsauginį kopagūbrį, įrengimas ir remontas</t>
  </si>
  <si>
    <t>005-03-04-02</t>
  </si>
  <si>
    <t>Projekto „Aplinkos pritaikymo ir aplinkosauginių priemonių įgyvendinimas Baltijos jūros paplūdimių zonoje“ įgyvendinimas</t>
  </si>
  <si>
    <t>005-04 (P)</t>
  </si>
  <si>
    <t>Uždavinys: Mažinti aplinkos taršą vykdant infrastruktūros plėtros bei diegiant prevencijos  priemones</t>
  </si>
  <si>
    <t>005-04-01 (PP)</t>
  </si>
  <si>
    <t>Priemonė: Aplinkos taršos infrastruktūros ir prevencijos priemonių įgyvendinimas</t>
  </si>
  <si>
    <t>Triukšmo mažinimo priemonių geležinkeliuose įrengimas Klaipėdos miesto savivaldybėje (projektą įgyvendina AB „Lietuvos geležinkeliai“)</t>
  </si>
  <si>
    <t>3.3.5.3.</t>
  </si>
  <si>
    <t>Lietaus nuotekų tinklų įrengimas Turistų gatvėje</t>
  </si>
  <si>
    <t>3.3.3.4.</t>
  </si>
  <si>
    <t>005-04-01-01 (RP)</t>
  </si>
  <si>
    <t>Klaipėdos miesto savivaldybės automatinių (stacionarių) aplinkos oro kokybės stebėjimo stotelių įrengimas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</si>
  <si>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</si>
  <si>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</si>
  <si>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</si>
  <si>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</si>
  <si>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</si>
  <si>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</si>
  <si>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</si>
  <si>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</si>
  <si>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MVPD – Miesto vystymo ir priežiūros departamentas.</t>
  </si>
  <si>
    <t xml:space="preserve">AD – Administravimo departamentas. </t>
  </si>
  <si>
    <t>UAD – Urbanistikos ir architektūros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</si>
  <si>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</si>
  <si>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</si>
  <si>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</si>
  <si>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</si>
  <si>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2025 m. asignavimai ir kitos lėšos</t>
  </si>
  <si>
    <t>2026 m. asignavimai ir kitos lėšos</t>
  </si>
  <si>
    <t>2027 m. asignavimai ir kitos lėšos</t>
  </si>
  <si>
    <t>005 Aplinkos apsaugos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</si>
  <si>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</si>
  <si>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</si>
  <si>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</si>
  <si>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t>savivaldybės biudžeto lėšos (nuosavos, be ankstesnių metų likučio)</t>
  </si>
  <si>
    <t>1.2.</t>
  </si>
  <si>
    <t>1.3.</t>
  </si>
  <si>
    <t>pajamų įmokos ir kitos pajamos</t>
  </si>
  <si>
    <t>1.4.</t>
  </si>
  <si>
    <t>Europos Sąjungos ir kitos tarptautinės finansinės paramos lėšos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</si>
  <si>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</si>
  <si>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</si>
  <si>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</si>
  <si>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</si>
  <si>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</si>
  <si>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</si>
  <si>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</si>
  <si>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</si>
  <si>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</si>
  <si>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</si>
  <si>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</si>
  <si>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</si>
  <si>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</si>
  <si>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</si>
  <si>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</si>
  <si>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</si>
  <si>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</si>
  <si>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</si>
  <si>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>Želdynų ir želdinių būklės įvertinimas ir ekspertizė</t>
  </si>
  <si>
    <r>
      <t>Želdynų ir želdinių inventorizavimas</t>
    </r>
    <r>
      <rPr>
        <b/>
        <sz val="10"/>
        <color rgb="FFFF0000"/>
        <rFont val="Times New Roman"/>
      </rPr>
      <t xml:space="preserve"> </t>
    </r>
  </si>
  <si>
    <t>Visuomenės aplinkosauginis švietimas</t>
  </si>
  <si>
    <r>
      <t>Danės upės pakrantės šlaito erozijos ir jos padarinių šalinimas</t>
    </r>
    <r>
      <rPr>
        <b/>
        <sz val="10"/>
        <color rgb="FFFF0000"/>
        <rFont val="Times New Roman"/>
      </rPr>
      <t xml:space="preserve"> </t>
    </r>
  </si>
  <si>
    <t>Skolintos lėšos</t>
  </si>
  <si>
    <t>Skolintos lėšos'</t>
  </si>
  <si>
    <t>Melnragės parko rytinės dalies įrengimas</t>
  </si>
  <si>
    <t>Projekto „Miško parkas“ pėsčiųjų ir dviračių takų įrengimas Smiltynėje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</si>
</sst>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0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0" tint="-0.1499984740745262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0070C0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86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0"/>
      <color rgb="FFFF0000"/>
      <name val="Times New Roman"/>
    </font>
    <font>
      <sz val="9"/>
      <color rgb="FF515967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9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165" fontId="3" fillId="0" borderId="1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165" fontId="7" fillId="3" borderId="1" xfId="0" applyNumberFormat="1" applyFont="1" applyFill="1" applyBorder="1" applyAlignment="1">
      <alignment horizontal="center" vertical="top" wrapText="1"/>
    </xf>
    <xf numFmtId="165" fontId="1" fillId="6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justify" vertical="top" wrapText="1"/>
    </xf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1" fillId="4" borderId="6" xfId="0" applyFont="1" applyFill="1" applyBorder="1" applyAlignment="1">
      <alignment vertical="top" wrapText="1"/>
    </xf>
    <xf numFmtId="0" fontId="7" fillId="5" borderId="1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6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" fillId="6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3" fontId="7" fillId="3" borderId="2" xfId="0" applyNumberFormat="1" applyFont="1" applyFill="1" applyBorder="1" applyAlignment="1">
      <alignment vertical="top" wrapText="1"/>
    </xf>
    <xf numFmtId="3" fontId="7" fillId="3" borderId="2" xfId="0" applyNumberFormat="1" applyFont="1" applyFill="1" applyBorder="1" applyAlignment="1">
      <alignment horizontal="left" vertical="top" wrapText="1"/>
    </xf>
    <xf numFmtId="3" fontId="7" fillId="3" borderId="5" xfId="0" applyNumberFormat="1" applyFont="1" applyFill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164" fontId="1" fillId="6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1" fillId="4" borderId="1" xfId="0" applyNumberFormat="1" applyFont="1" applyFill="1" applyBorder="1" applyAlignment="1">
      <alignment horizontal="center" vertical="top" wrapText="1"/>
    </xf>
    <xf numFmtId="164" fontId="1" fillId="5" borderId="1" xfId="0" applyNumberFormat="1" applyFont="1" applyFill="1" applyBorder="1" applyAlignment="1">
      <alignment horizontal="center" vertical="top" wrapText="1"/>
    </xf>
    <xf numFmtId="164" fontId="1" fillId="6" borderId="7" xfId="0" applyNumberFormat="1" applyFont="1" applyFill="1" applyBorder="1" applyAlignment="1">
      <alignment horizontal="center" vertical="top" wrapText="1"/>
    </xf>
    <xf numFmtId="164" fontId="7" fillId="0" borderId="7" xfId="0" applyNumberFormat="1" applyFont="1" applyBorder="1" applyAlignment="1">
      <alignment horizontal="center" vertical="top" wrapText="1"/>
    </xf>
    <xf numFmtId="164" fontId="6" fillId="4" borderId="1" xfId="0" applyNumberFormat="1" applyFont="1" applyFill="1" applyBorder="1" applyAlignment="1">
      <alignment horizontal="center" vertical="top" wrapText="1"/>
    </xf>
    <xf numFmtId="164" fontId="7" fillId="6" borderId="1" xfId="0" applyNumberFormat="1" applyFont="1" applyFill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top" wrapText="1"/>
    </xf>
    <xf numFmtId="165" fontId="2" fillId="0" borderId="8" xfId="0" applyNumberFormat="1" applyFont="1" applyBorder="1" applyAlignment="1">
      <alignment horizontal="center" vertical="top" wrapText="1"/>
    </xf>
    <xf numFmtId="165" fontId="11" fillId="3" borderId="1" xfId="0" applyNumberFormat="1" applyFont="1" applyFill="1" applyBorder="1" applyAlignment="1">
      <alignment horizontal="center" vertical="top" wrapText="1"/>
    </xf>
    <xf numFmtId="165" fontId="11" fillId="3" borderId="7" xfId="0" applyNumberFormat="1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12" fillId="0" borderId="0" xfId="0" applyFont="1"/>
    <xf numFmtId="165" fontId="11" fillId="3" borderId="3" xfId="0" applyNumberFormat="1" applyFont="1" applyFill="1" applyBorder="1" applyAlignment="1">
      <alignment horizontal="center" vertical="top" wrapText="1"/>
    </xf>
    <xf numFmtId="165" fontId="11" fillId="3" borderId="8" xfId="0" applyNumberFormat="1" applyFont="1" applyFill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7" fillId="3" borderId="14" xfId="0" applyFont="1" applyFill="1" applyBorder="1" applyAlignment="1">
      <alignment horizontal="left" vertical="top" wrapText="1"/>
    </xf>
    <xf numFmtId="0" fontId="3" fillId="0" borderId="14" xfId="0" applyFont="1" applyBorder="1" applyAlignment="1">
      <alignment vertical="top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11" fillId="3" borderId="7" xfId="0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164" fontId="12" fillId="0" borderId="0" xfId="0" applyNumberFormat="1" applyFont="1"/>
    <xf numFmtId="0" fontId="11" fillId="3" borderId="1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3" fontId="2" fillId="3" borderId="2" xfId="0" applyNumberFormat="1" applyFont="1" applyFill="1" applyBorder="1" applyAlignment="1">
      <alignment horizontal="left" vertical="top" wrapText="1"/>
    </xf>
    <xf numFmtId="0" fontId="11" fillId="3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4" fontId="3" fillId="0" borderId="0" xfId="0" applyNumberFormat="1" applyFont="1"/>
    <xf numFmtId="165" fontId="3" fillId="0" borderId="0" xfId="0" applyNumberFormat="1" applyFont="1"/>
    <xf numFmtId="0" fontId="2" fillId="3" borderId="1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vertical="top" wrapText="1"/>
    </xf>
    <xf numFmtId="0" fontId="3" fillId="6" borderId="16" xfId="0" applyFont="1" applyFill="1" applyBorder="1" applyAlignment="1">
      <alignment vertical="top" wrapText="1"/>
    </xf>
    <xf numFmtId="0" fontId="3" fillId="3" borderId="9" xfId="0" applyFont="1" applyFill="1" applyBorder="1" applyAlignment="1">
      <alignment vertical="top" wrapText="1"/>
    </xf>
    <xf numFmtId="0" fontId="3" fillId="3" borderId="5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top" wrapText="1"/>
    </xf>
    <xf numFmtId="164" fontId="3" fillId="3" borderId="2" xfId="0" applyNumberFormat="1" applyFont="1" applyFill="1" applyBorder="1" applyAlignment="1">
      <alignment horizontal="center" vertical="top" wrapText="1"/>
    </xf>
    <xf numFmtId="164" fontId="1" fillId="3" borderId="2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 wrapText="1"/>
    </xf>
    <xf numFmtId="0" fontId="16" fillId="0" borderId="0" xfId="0" applyFont="1"/>
    <xf numFmtId="3" fontId="18" fillId="3" borderId="2" xfId="0" applyNumberFormat="1" applyFont="1" applyFill="1" applyBorder="1" applyAlignment="1">
      <alignment horizontal="left" vertical="top" wrapText="1"/>
    </xf>
    <xf numFmtId="0" fontId="17" fillId="3" borderId="3" xfId="0" applyFont="1" applyFill="1" applyBorder="1" applyAlignment="1">
      <alignment horizontal="center" vertical="top" wrapText="1"/>
    </xf>
    <xf numFmtId="0" fontId="17" fillId="3" borderId="8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7" fillId="3" borderId="1" xfId="0" applyFont="1" applyFill="1" applyBorder="1" applyAlignment="1">
      <alignment vertical="top" wrapText="1"/>
    </xf>
    <xf numFmtId="165" fontId="17" fillId="3" borderId="3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4" borderId="6" xfId="0" applyFont="1" applyFill="1" applyBorder="1" applyAlignment="1">
      <alignment vertical="top" wrapText="1"/>
    </xf>
    <xf numFmtId="0" fontId="5" fillId="8" borderId="1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1" fillId="0" borderId="18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7" fillId="6" borderId="7" xfId="0" applyNumberFormat="1" applyFont="1" applyFill="1" applyBorder="1" applyAlignment="1">
      <alignment horizontal="center" vertical="top" wrapText="1"/>
    </xf>
    <xf numFmtId="0" fontId="3" fillId="6" borderId="19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164" fontId="11" fillId="3" borderId="2" xfId="0" applyNumberFormat="1" applyFont="1" applyFill="1" applyBorder="1" applyAlignment="1">
      <alignment horizontal="center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20" fillId="0" borderId="0" xfId="0" applyFont="1"/>
    <xf numFmtId="0" fontId="3" fillId="0" borderId="0" xfId="0" applyFont="1" applyAlignment="1">
      <alignment wrapText="1"/>
    </xf>
    <xf numFmtId="0" fontId="6" fillId="0" borderId="0" xfId="0" applyFont="1" applyAlignment="1">
      <alignment vertical="top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164" fontId="22" fillId="3" borderId="1" xfId="0" applyNumberFormat="1" applyFont="1" applyFill="1" applyBorder="1" applyAlignment="1">
      <alignment horizontal="center" vertical="top" wrapText="1"/>
    </xf>
    <xf numFmtId="165" fontId="22" fillId="3" borderId="3" xfId="0" applyNumberFormat="1" applyFont="1" applyFill="1" applyBorder="1" applyAlignment="1">
      <alignment horizontal="center" vertical="top" wrapText="1"/>
    </xf>
    <xf numFmtId="0" fontId="23" fillId="7" borderId="1" xfId="0" applyFont="1" applyFill="1" applyBorder="1" applyAlignment="1">
      <alignment vertical="top" wrapText="1"/>
    </xf>
    <xf numFmtId="165" fontId="22" fillId="3" borderId="8" xfId="0" applyNumberFormat="1" applyFont="1" applyFill="1" applyBorder="1" applyAlignment="1">
      <alignment horizontal="center" vertical="top" wrapText="1"/>
    </xf>
    <xf numFmtId="0" fontId="22" fillId="3" borderId="1" xfId="0" applyFont="1" applyFill="1" applyBorder="1" applyAlignment="1">
      <alignment vertical="top" wrapText="1"/>
    </xf>
    <xf numFmtId="165" fontId="22" fillId="8" borderId="1" xfId="0" applyNumberFormat="1" applyFont="1" applyFill="1" applyBorder="1" applyAlignment="1">
      <alignment horizontal="center" vertical="top" wrapText="1"/>
    </xf>
    <xf numFmtId="0" fontId="22" fillId="8" borderId="1" xfId="0" applyFont="1" applyFill="1" applyBorder="1" applyAlignment="1">
      <alignment horizontal="center" vertical="top" wrapText="1"/>
    </xf>
    <xf numFmtId="164" fontId="22" fillId="0" borderId="1" xfId="0" applyNumberFormat="1" applyFont="1" applyBorder="1" applyAlignment="1">
      <alignment horizontal="center" vertical="top" wrapText="1"/>
    </xf>
    <xf numFmtId="0" fontId="1" fillId="6" borderId="7" xfId="0" applyFont="1" applyFill="1" applyBorder="1" applyAlignment="1">
      <alignment vertical="top" wrapText="1"/>
    </xf>
    <xf numFmtId="0" fontId="7" fillId="7" borderId="8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1" fillId="6" borderId="1" xfId="0" applyFont="1" applyFill="1" applyBorder="1" applyAlignment="1">
      <alignment vertical="top"/>
    </xf>
    <xf numFmtId="0" fontId="7" fillId="0" borderId="11" xfId="0" applyFont="1" applyBorder="1" applyAlignment="1">
      <alignment vertical="top" wrapText="1"/>
    </xf>
    <xf numFmtId="0" fontId="7" fillId="6" borderId="19" xfId="0" applyFont="1" applyFill="1" applyBorder="1" applyAlignment="1">
      <alignment vertical="top"/>
    </xf>
    <xf numFmtId="0" fontId="7" fillId="6" borderId="1" xfId="0" applyFont="1" applyFill="1" applyBorder="1" applyAlignment="1">
      <alignment vertical="top"/>
    </xf>
    <xf numFmtId="0" fontId="2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5" fontId="25" fillId="0" borderId="8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27" fillId="3" borderId="1" xfId="0" applyFont="1" applyFill="1" applyBorder="1" applyAlignment="1">
      <alignment vertical="top" wrapText="1"/>
    </xf>
    <xf numFmtId="164" fontId="3" fillId="0" borderId="6" xfId="0" applyNumberFormat="1" applyFont="1" applyBorder="1" applyAlignment="1">
      <alignment horizontal="center" vertical="top" wrapText="1"/>
    </xf>
    <xf numFmtId="164" fontId="3" fillId="3" borderId="3" xfId="0" applyNumberFormat="1" applyFont="1" applyFill="1" applyBorder="1" applyAlignment="1">
      <alignment horizontal="center" vertical="top" wrapText="1"/>
    </xf>
    <xf numFmtId="0" fontId="11" fillId="3" borderId="13" xfId="0" applyFont="1" applyFill="1" applyBorder="1" applyAlignment="1">
      <alignment horizontal="center" vertical="top" wrapText="1"/>
    </xf>
    <xf numFmtId="0" fontId="3" fillId="3" borderId="14" xfId="0" applyFont="1" applyFill="1" applyBorder="1"/>
    <xf numFmtId="165" fontId="11" fillId="3" borderId="13" xfId="0" applyNumberFormat="1" applyFont="1" applyFill="1" applyBorder="1" applyAlignment="1">
      <alignment horizontal="center" vertical="top" wrapText="1"/>
    </xf>
    <xf numFmtId="0" fontId="29" fillId="9" borderId="0" xfId="0" applyFont="1" applyFill="1" applyAlignment="1">
      <alignment wrapText="1"/>
    </xf>
    <xf numFmtId="0" fontId="12" fillId="0" borderId="0" xfId="0" applyFont="1" applyAlignment="1">
      <alignment vertical="center"/>
    </xf>
    <xf numFmtId="165" fontId="11" fillId="0" borderId="7" xfId="0" applyNumberFormat="1" applyFont="1" applyBorder="1" applyAlignment="1">
      <alignment horizontal="center" vertical="top" wrapText="1"/>
    </xf>
    <xf numFmtId="165" fontId="17" fillId="0" borderId="7" xfId="0" applyNumberFormat="1" applyFont="1" applyBorder="1" applyAlignment="1">
      <alignment horizontal="center" vertical="top" wrapText="1"/>
    </xf>
    <xf numFmtId="164" fontId="17" fillId="3" borderId="1" xfId="0" applyNumberFormat="1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165" fontId="24" fillId="8" borderId="1" xfId="0" applyNumberFormat="1" applyFont="1" applyFill="1" applyBorder="1" applyAlignment="1">
      <alignment horizontal="center" vertical="top" wrapText="1"/>
    </xf>
    <xf numFmtId="0" fontId="11" fillId="0" borderId="0" xfId="0" applyFont="1"/>
    <xf numFmtId="0" fontId="11" fillId="0" borderId="7" xfId="0" applyFont="1" applyBorder="1" applyAlignment="1">
      <alignment wrapText="1"/>
    </xf>
    <xf numFmtId="0" fontId="22" fillId="7" borderId="8" xfId="0" applyFont="1" applyFill="1" applyBorder="1" applyAlignment="1">
      <alignment wrapText="1"/>
    </xf>
    <xf numFmtId="0" fontId="2" fillId="0" borderId="8" xfId="0" applyFont="1" applyBorder="1" applyAlignment="1">
      <alignment wrapText="1"/>
    </xf>
    <xf numFmtId="165" fontId="11" fillId="0" borderId="8" xfId="0" applyNumberFormat="1" applyFont="1" applyBorder="1" applyAlignment="1">
      <alignment horizontal="center" vertical="top" wrapText="1"/>
    </xf>
    <xf numFmtId="0" fontId="11" fillId="7" borderId="8" xfId="0" applyFont="1" applyFill="1" applyBorder="1" applyAlignment="1">
      <alignment vertical="top" wrapText="1"/>
    </xf>
    <xf numFmtId="0" fontId="2" fillId="3" borderId="7" xfId="0" applyFont="1" applyFill="1" applyBorder="1" applyAlignment="1">
      <alignment vertical="top" wrapText="1"/>
    </xf>
    <xf numFmtId="0" fontId="11" fillId="0" borderId="7" xfId="0" applyFont="1" applyBorder="1" applyAlignment="1">
      <alignment horizontal="center" vertical="top" wrapText="1"/>
    </xf>
    <xf numFmtId="0" fontId="6" fillId="0" borderId="0" xfId="0" applyFont="1"/>
    <xf numFmtId="3" fontId="7" fillId="3" borderId="22" xfId="0" applyNumberFormat="1" applyFont="1" applyFill="1" applyBorder="1" applyAlignment="1">
      <alignment vertical="top" wrapText="1"/>
    </xf>
    <xf numFmtId="165" fontId="17" fillId="0" borderId="1" xfId="0" applyNumberFormat="1" applyFont="1" applyBorder="1" applyAlignment="1">
      <alignment horizontal="center" vertical="top" wrapText="1"/>
    </xf>
    <xf numFmtId="165" fontId="6" fillId="8" borderId="1" xfId="0" applyNumberFormat="1" applyFont="1" applyFill="1" applyBorder="1" applyAlignment="1">
      <alignment horizontal="center" vertical="top" wrapText="1"/>
    </xf>
    <xf numFmtId="165" fontId="17" fillId="8" borderId="1" xfId="0" applyNumberFormat="1" applyFont="1" applyFill="1" applyBorder="1" applyAlignment="1">
      <alignment horizontal="center" vertical="top" wrapText="1"/>
    </xf>
    <xf numFmtId="165" fontId="11" fillId="8" borderId="1" xfId="0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top"/>
    </xf>
    <xf numFmtId="0" fontId="11" fillId="0" borderId="0" xfId="0" applyFont="1" applyAlignment="1">
      <alignment horizontal="left" vertical="center"/>
    </xf>
    <xf numFmtId="164" fontId="11" fillId="3" borderId="7" xfId="0" applyNumberFormat="1" applyFont="1" applyFill="1" applyBorder="1" applyAlignment="1">
      <alignment horizontal="center" vertical="top" wrapText="1"/>
    </xf>
    <xf numFmtId="164" fontId="1" fillId="3" borderId="7" xfId="0" applyNumberFormat="1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wrapText="1"/>
    </xf>
    <xf numFmtId="0" fontId="11" fillId="3" borderId="8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165" fontId="17" fillId="3" borderId="1" xfId="0" applyNumberFormat="1" applyFont="1" applyFill="1" applyBorder="1" applyAlignment="1">
      <alignment horizontal="center" vertical="top" wrapText="1"/>
    </xf>
    <xf numFmtId="0" fontId="1" fillId="6" borderId="23" xfId="0" applyFont="1" applyFill="1" applyBorder="1" applyAlignment="1">
      <alignment vertical="top"/>
    </xf>
    <xf numFmtId="0" fontId="11" fillId="0" borderId="0" xfId="0" applyFont="1" applyAlignment="1">
      <alignment vertical="top"/>
    </xf>
    <xf numFmtId="3" fontId="11" fillId="0" borderId="0" xfId="0" applyNumberFormat="1" applyFont="1" applyAlignment="1">
      <alignment vertical="top"/>
    </xf>
    <xf numFmtId="164" fontId="11" fillId="0" borderId="0" xfId="0" applyNumberFormat="1" applyFont="1"/>
    <xf numFmtId="164" fontId="11" fillId="0" borderId="0" xfId="0" applyNumberFormat="1" applyFont="1" applyAlignment="1">
      <alignment vertical="top"/>
    </xf>
    <xf numFmtId="0" fontId="11" fillId="0" borderId="0" xfId="0" applyFont="1" applyAlignment="1">
      <alignment wrapText="1"/>
    </xf>
    <xf numFmtId="0" fontId="3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7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11" fillId="3" borderId="5" xfId="0" applyFont="1" applyFill="1" applyBorder="1" applyAlignment="1">
      <alignment horizontal="left" vertical="top" wrapText="1"/>
    </xf>
    <xf numFmtId="3" fontId="26" fillId="3" borderId="20" xfId="0" applyNumberFormat="1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11" fillId="3" borderId="7" xfId="0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vertical="top" wrapText="1"/>
    </xf>
    <xf numFmtId="0" fontId="22" fillId="3" borderId="1" xfId="0" applyFont="1" applyFill="1" applyBorder="1" applyAlignment="1">
      <alignment horizontal="center" vertical="top" wrapText="1"/>
    </xf>
    <xf numFmtId="3" fontId="26" fillId="3" borderId="2" xfId="0" applyNumberFormat="1" applyFont="1" applyFill="1" applyBorder="1" applyAlignment="1">
      <alignment horizontal="center" vertical="top" wrapText="1"/>
    </xf>
    <xf numFmtId="3" fontId="26" fillId="3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3" fontId="5" fillId="3" borderId="2" xfId="0" applyNumberFormat="1" applyFont="1" applyFill="1" applyBorder="1" applyAlignment="1">
      <alignment horizontal="center" vertical="top" wrapText="1"/>
    </xf>
    <xf numFmtId="3" fontId="5" fillId="3" borderId="5" xfId="0" applyNumberFormat="1" applyFont="1" applyFill="1" applyBorder="1" applyAlignment="1">
      <alignment horizontal="center" vertical="top" wrapText="1"/>
    </xf>
    <xf numFmtId="3" fontId="5" fillId="3" borderId="3" xfId="0" applyNumberFormat="1" applyFont="1" applyFill="1" applyBorder="1" applyAlignment="1">
      <alignment horizontal="center" vertical="top" wrapText="1"/>
    </xf>
    <xf numFmtId="3" fontId="11" fillId="3" borderId="2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5" fillId="3" borderId="13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3" fontId="5" fillId="3" borderId="13" xfId="0" applyNumberFormat="1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left"/>
    </xf>
    <xf numFmtId="0" fontId="5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9" xfId="0" applyFont="1" applyFill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11" fillId="3" borderId="2" xfId="0" applyFont="1" applyFill="1" applyBorder="1" applyAlignment="1">
      <alignment horizontal="left" vertical="top" wrapText="1"/>
    </xf>
    <xf numFmtId="0" fontId="11" fillId="3" borderId="5" xfId="0" applyFont="1" applyFill="1" applyBorder="1" applyAlignment="1">
      <alignment horizontal="left" vertical="top" wrapText="1"/>
    </xf>
    <xf numFmtId="0" fontId="11" fillId="3" borderId="3" xfId="0" applyFont="1" applyFill="1" applyBorder="1" applyAlignment="1">
      <alignment horizontal="left" vertical="top" wrapText="1"/>
    </xf>
    <xf numFmtId="3" fontId="26" fillId="3" borderId="9" xfId="0" applyNumberFormat="1" applyFont="1" applyFill="1" applyBorder="1" applyAlignment="1">
      <alignment horizontal="center" vertical="top" wrapText="1"/>
    </xf>
    <xf numFmtId="3" fontId="26" fillId="3" borderId="21" xfId="0" applyNumberFormat="1" applyFont="1" applyFill="1" applyBorder="1" applyAlignment="1">
      <alignment horizontal="center" vertical="top" wrapText="1"/>
    </xf>
    <xf numFmtId="3" fontId="26" fillId="3" borderId="3" xfId="0" applyNumberFormat="1" applyFont="1" applyFill="1" applyBorder="1" applyAlignment="1">
      <alignment horizontal="center" vertical="top" wrapText="1"/>
    </xf>
    <xf numFmtId="3" fontId="5" fillId="3" borderId="21" xfId="0" applyNumberFormat="1" applyFont="1" applyFill="1" applyBorder="1" applyAlignment="1">
      <alignment horizontal="center" vertical="top" wrapText="1"/>
    </xf>
    <xf numFmtId="3" fontId="5" fillId="3" borderId="9" xfId="0" applyNumberFormat="1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22" fillId="3" borderId="2" xfId="0" applyFont="1" applyFill="1" applyBorder="1" applyAlignment="1">
      <alignment horizontal="left" vertical="top" wrapText="1"/>
    </xf>
    <xf numFmtId="0" fontId="22" fillId="3" borderId="3" xfId="0" applyFont="1" applyFill="1" applyBorder="1" applyAlignment="1">
      <alignment horizontal="left" vertical="top" wrapText="1"/>
    </xf>
    <xf numFmtId="0" fontId="15" fillId="3" borderId="3" xfId="0" applyFont="1" applyFill="1" applyBorder="1" applyAlignment="1">
      <alignment horizontal="left" vertical="top" wrapText="1"/>
    </xf>
    <xf numFmtId="0" fontId="17" fillId="3" borderId="2" xfId="0" applyFont="1" applyFill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14" fillId="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FFCCFF"/>
      <color rgb="FFCCFFCC"/>
      <color rgb="FF9D60CC"/>
      <color rgb="FFFEFAFF"/>
      <color rgb="FFFAFA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125D-579F-4A47-AB90-A5D8AADB0019}">
  <sheetPr>
    <pageSetUpPr fitToPage="1"/>
  </sheetPr>
  <dimension ref="A1:Q214"/>
  <sheetViews>
    <sheetView tabSelected="1" zoomScaleNormal="100" workbookViewId="0">
      <selection activeCell="B4" sqref="B4:I4"/>
    </sheetView>
  </sheetViews>
  <sheetFormatPr defaultColWidth="9.44140625" defaultRowHeight="13.2" x14ac:dyDescent="0.25"/>
  <cols>
    <col min="1" max="1" width="3.33203125" style="1" customWidth="1"/>
    <col min="2" max="2" width="17.5546875" style="1" customWidth="1"/>
    <col min="3" max="3" width="44.5546875" style="6" customWidth="1"/>
    <col min="4" max="4" width="16.33203125" style="6" customWidth="1"/>
    <col min="5" max="8" width="11.5546875" style="1" customWidth="1"/>
    <col min="9" max="9" width="14.5546875" style="1" customWidth="1"/>
    <col min="10" max="10" width="14.44140625" style="1" customWidth="1"/>
    <col min="11" max="11" width="14.6640625" style="1" customWidth="1"/>
    <col min="12" max="16384" width="9.44140625" style="1"/>
  </cols>
  <sheetData>
    <row r="1" spans="2:16" ht="15.6" x14ac:dyDescent="0.3">
      <c r="D1" s="1"/>
      <c r="H1" s="252" t="s">
        <v>0</v>
      </c>
      <c r="I1" s="252"/>
      <c r="J1" s="151"/>
      <c r="P1" s="151"/>
    </row>
    <row r="2" spans="2:16" ht="13.95" customHeight="1" x14ac:dyDescent="0.3">
      <c r="D2" s="1"/>
      <c r="H2" s="252" t="s">
        <v>1</v>
      </c>
      <c r="I2" s="252"/>
      <c r="J2" s="151"/>
      <c r="P2" s="151"/>
    </row>
    <row r="3" spans="2:16" ht="13.95" customHeight="1" x14ac:dyDescent="0.3">
      <c r="G3" s="112"/>
      <c r="H3" s="112"/>
      <c r="I3" s="112"/>
    </row>
    <row r="4" spans="2:16" ht="34.950000000000003" customHeight="1" x14ac:dyDescent="0.25">
      <c r="B4" s="258" t="s">
        <v>2</v>
      </c>
      <c r="C4" s="258"/>
      <c r="D4" s="258"/>
      <c r="E4" s="258"/>
      <c r="F4" s="258"/>
      <c r="G4" s="258"/>
      <c r="H4" s="258"/>
      <c r="I4" s="258"/>
    </row>
    <row r="5" spans="2:16" ht="73.95" customHeight="1" x14ac:dyDescent="0.25">
      <c r="B5" s="15" t="s">
        <v>3</v>
      </c>
      <c r="C5" s="16" t="s">
        <v>4</v>
      </c>
      <c r="D5" s="152" t="s">
        <v>5</v>
      </c>
      <c r="E5" s="16" t="s">
        <v>6</v>
      </c>
      <c r="F5" s="16" t="s">
        <v>7</v>
      </c>
      <c r="G5" s="16" t="s">
        <v>8</v>
      </c>
      <c r="H5" s="16" t="s">
        <v>9</v>
      </c>
      <c r="I5" s="16" t="s">
        <v>10</v>
      </c>
    </row>
    <row r="6" spans="2:16" x14ac:dyDescent="0.25">
      <c r="B6" s="39">
        <v>1</v>
      </c>
      <c r="C6" s="40">
        <v>2</v>
      </c>
      <c r="D6" s="40">
        <v>3</v>
      </c>
      <c r="E6" s="39">
        <v>4</v>
      </c>
      <c r="F6" s="39">
        <v>5</v>
      </c>
      <c r="G6" s="39">
        <v>6</v>
      </c>
      <c r="H6" s="39">
        <v>7</v>
      </c>
      <c r="I6" s="39">
        <v>8</v>
      </c>
    </row>
    <row r="7" spans="2:16" ht="21" customHeight="1" x14ac:dyDescent="0.25">
      <c r="B7" s="17" t="s">
        <v>11</v>
      </c>
      <c r="C7" s="17" t="s">
        <v>12</v>
      </c>
      <c r="D7" s="17"/>
      <c r="E7" s="18"/>
      <c r="F7" s="18"/>
      <c r="G7" s="18"/>
      <c r="H7" s="18"/>
      <c r="I7" s="18"/>
    </row>
    <row r="8" spans="2:16" ht="28.65" customHeight="1" x14ac:dyDescent="0.25">
      <c r="B8" s="19" t="s">
        <v>13</v>
      </c>
      <c r="C8" s="20" t="s">
        <v>14</v>
      </c>
      <c r="D8" s="20"/>
      <c r="E8" s="21"/>
      <c r="F8" s="21"/>
      <c r="G8" s="21"/>
      <c r="H8" s="21"/>
      <c r="I8" s="21"/>
    </row>
    <row r="9" spans="2:16" ht="19.5" customHeight="1" x14ac:dyDescent="0.25">
      <c r="B9" s="220" t="s">
        <v>15</v>
      </c>
      <c r="C9" s="33" t="s">
        <v>16</v>
      </c>
      <c r="D9" s="253" t="s">
        <v>17</v>
      </c>
      <c r="E9" s="50"/>
      <c r="F9" s="50"/>
      <c r="G9" s="50"/>
      <c r="H9" s="50"/>
      <c r="I9" s="4"/>
      <c r="J9" s="130"/>
    </row>
    <row r="10" spans="2:16" ht="28.5" customHeight="1" x14ac:dyDescent="0.25">
      <c r="B10" s="231"/>
      <c r="C10" s="43" t="s">
        <v>18</v>
      </c>
      <c r="D10" s="254"/>
      <c r="E10" s="136">
        <f>6325.6+2.3</f>
        <v>6327.9000000000005</v>
      </c>
      <c r="F10" s="70">
        <v>6860</v>
      </c>
      <c r="G10" s="70">
        <f>6860+306.8</f>
        <v>7166.8</v>
      </c>
      <c r="H10" s="70">
        <f>6860+306.8</f>
        <v>7166.8</v>
      </c>
      <c r="I10" s="4"/>
      <c r="J10" s="90"/>
    </row>
    <row r="11" spans="2:16" ht="18" customHeight="1" x14ac:dyDescent="0.25">
      <c r="B11" s="221"/>
      <c r="C11" s="88" t="s">
        <v>19</v>
      </c>
      <c r="D11" s="254"/>
      <c r="E11" s="136">
        <f>750.6+8.2-2.3+144.7</f>
        <v>901.2</v>
      </c>
      <c r="F11" s="70">
        <v>306.8</v>
      </c>
      <c r="G11" s="70"/>
      <c r="H11" s="70"/>
      <c r="I11" s="4"/>
      <c r="J11" s="90"/>
    </row>
    <row r="12" spans="2:16" ht="29.25" customHeight="1" x14ac:dyDescent="0.25">
      <c r="B12" s="220" t="s">
        <v>20</v>
      </c>
      <c r="C12" s="42" t="s">
        <v>21</v>
      </c>
      <c r="D12" s="254"/>
      <c r="E12" s="50"/>
      <c r="F12" s="50"/>
      <c r="G12" s="50"/>
      <c r="H12" s="50"/>
      <c r="I12" s="4"/>
      <c r="J12" s="90"/>
    </row>
    <row r="13" spans="2:16" ht="29.25" customHeight="1" x14ac:dyDescent="0.25">
      <c r="B13" s="231"/>
      <c r="C13" s="43" t="s">
        <v>18</v>
      </c>
      <c r="D13" s="254"/>
      <c r="E13" s="63">
        <v>141.69999999999999</v>
      </c>
      <c r="F13" s="164"/>
      <c r="G13" s="164">
        <v>170</v>
      </c>
      <c r="H13" s="164">
        <v>170</v>
      </c>
      <c r="I13" s="4"/>
      <c r="J13" s="90"/>
    </row>
    <row r="14" spans="2:16" ht="18" customHeight="1" x14ac:dyDescent="0.25">
      <c r="B14" s="221"/>
      <c r="C14" s="43" t="s">
        <v>19</v>
      </c>
      <c r="D14" s="254"/>
      <c r="E14" s="63"/>
      <c r="F14" s="165">
        <v>170</v>
      </c>
      <c r="G14" s="165"/>
      <c r="H14" s="165"/>
      <c r="I14" s="4"/>
      <c r="J14" s="90"/>
    </row>
    <row r="15" spans="2:16" ht="17.25" customHeight="1" x14ac:dyDescent="0.25">
      <c r="B15" s="220" t="s">
        <v>22</v>
      </c>
      <c r="C15" s="22" t="s">
        <v>23</v>
      </c>
      <c r="D15" s="254"/>
      <c r="E15" s="61" t="s">
        <v>24</v>
      </c>
      <c r="F15" s="62"/>
      <c r="G15" s="62"/>
      <c r="H15" s="62"/>
      <c r="I15" s="4"/>
      <c r="J15" s="90"/>
    </row>
    <row r="16" spans="2:16" ht="28.5" customHeight="1" x14ac:dyDescent="0.25">
      <c r="B16" s="231"/>
      <c r="C16" s="29" t="s">
        <v>18</v>
      </c>
      <c r="D16" s="254"/>
      <c r="E16" s="68">
        <f>85+11.2</f>
        <v>96.2</v>
      </c>
      <c r="F16" s="69">
        <v>100</v>
      </c>
      <c r="G16" s="69">
        <v>100</v>
      </c>
      <c r="H16" s="69">
        <v>100</v>
      </c>
      <c r="I16" s="4"/>
      <c r="J16" s="90"/>
    </row>
    <row r="17" spans="2:15" ht="15.6" customHeight="1" x14ac:dyDescent="0.25">
      <c r="B17" s="221"/>
      <c r="C17" s="29" t="s">
        <v>19</v>
      </c>
      <c r="D17" s="254"/>
      <c r="E17" s="137">
        <v>50</v>
      </c>
      <c r="F17" s="154"/>
      <c r="G17" s="62"/>
      <c r="H17" s="62"/>
      <c r="I17" s="4"/>
      <c r="J17" s="90"/>
    </row>
    <row r="18" spans="2:15" ht="18" customHeight="1" x14ac:dyDescent="0.25">
      <c r="B18" s="220" t="s">
        <v>25</v>
      </c>
      <c r="C18" s="22" t="s">
        <v>26</v>
      </c>
      <c r="D18" s="254"/>
      <c r="E18" s="61" t="s">
        <v>24</v>
      </c>
      <c r="F18" s="62"/>
      <c r="G18" s="62"/>
      <c r="H18" s="62"/>
      <c r="I18" s="4"/>
      <c r="J18" s="90"/>
    </row>
    <row r="19" spans="2:15" ht="27" customHeight="1" x14ac:dyDescent="0.25">
      <c r="B19" s="231"/>
      <c r="C19" s="29" t="s">
        <v>18</v>
      </c>
      <c r="D19" s="254"/>
      <c r="E19" s="68">
        <f>30+40</f>
        <v>70</v>
      </c>
      <c r="F19" s="69">
        <v>50</v>
      </c>
      <c r="G19" s="69">
        <v>50</v>
      </c>
      <c r="H19" s="69">
        <v>50</v>
      </c>
      <c r="I19" s="4"/>
      <c r="J19" s="90"/>
    </row>
    <row r="20" spans="2:15" ht="74.400000000000006" customHeight="1" x14ac:dyDescent="0.25">
      <c r="B20" s="221"/>
      <c r="C20" s="29" t="s">
        <v>18</v>
      </c>
      <c r="D20" s="153" t="s">
        <v>27</v>
      </c>
      <c r="E20" s="68">
        <v>22.8</v>
      </c>
      <c r="F20" s="69">
        <v>7.7</v>
      </c>
      <c r="G20" s="69">
        <v>7.7</v>
      </c>
      <c r="H20" s="69">
        <v>7.7</v>
      </c>
      <c r="I20" s="4"/>
      <c r="J20" s="90"/>
    </row>
    <row r="21" spans="2:15" ht="29.25" customHeight="1" x14ac:dyDescent="0.25">
      <c r="B21" s="220" t="s">
        <v>28</v>
      </c>
      <c r="C21" s="7" t="s">
        <v>29</v>
      </c>
      <c r="D21" s="253" t="s">
        <v>17</v>
      </c>
      <c r="E21" s="50"/>
      <c r="F21" s="50"/>
      <c r="G21" s="50"/>
      <c r="H21" s="50"/>
      <c r="I21" s="4"/>
      <c r="J21" s="90"/>
    </row>
    <row r="22" spans="2:15" ht="29.25" customHeight="1" x14ac:dyDescent="0.25">
      <c r="B22" s="231"/>
      <c r="C22" s="3" t="s">
        <v>18</v>
      </c>
      <c r="D22" s="254"/>
      <c r="E22" s="136">
        <f>7.7-2.3</f>
        <v>5.4</v>
      </c>
      <c r="F22" s="70"/>
      <c r="G22" s="70">
        <v>3.6</v>
      </c>
      <c r="H22" s="70">
        <v>3.6</v>
      </c>
      <c r="I22" s="4"/>
      <c r="J22" s="90"/>
    </row>
    <row r="23" spans="2:15" ht="30.6" customHeight="1" x14ac:dyDescent="0.25">
      <c r="B23" s="221"/>
      <c r="C23" s="3" t="s">
        <v>19</v>
      </c>
      <c r="D23" s="255"/>
      <c r="E23" s="136">
        <f>12.9-8.2+2.3</f>
        <v>7.0000000000000009</v>
      </c>
      <c r="F23" s="70">
        <v>5.2</v>
      </c>
      <c r="G23" s="70"/>
      <c r="H23" s="70"/>
      <c r="I23" s="4"/>
      <c r="J23" s="90"/>
      <c r="K23" s="131"/>
    </row>
    <row r="24" spans="2:15" ht="42" customHeight="1" x14ac:dyDescent="0.25">
      <c r="B24" s="220"/>
      <c r="C24" s="89" t="s">
        <v>30</v>
      </c>
      <c r="D24" s="248" t="s">
        <v>31</v>
      </c>
      <c r="E24" s="70"/>
      <c r="F24" s="70"/>
      <c r="G24" s="70"/>
      <c r="H24" s="70"/>
      <c r="I24" s="4" t="s">
        <v>32</v>
      </c>
      <c r="J24" s="90"/>
    </row>
    <row r="25" spans="2:15" ht="28.5" customHeight="1" x14ac:dyDescent="0.25">
      <c r="B25" s="231"/>
      <c r="C25" s="3" t="s">
        <v>18</v>
      </c>
      <c r="D25" s="256"/>
      <c r="E25" s="70"/>
      <c r="F25" s="70"/>
      <c r="G25" s="70"/>
      <c r="H25" s="70"/>
      <c r="I25" s="4"/>
      <c r="J25" s="90"/>
    </row>
    <row r="26" spans="2:15" ht="17.25" customHeight="1" x14ac:dyDescent="0.25">
      <c r="B26" s="259"/>
      <c r="C26" s="3" t="s">
        <v>19</v>
      </c>
      <c r="D26" s="257"/>
      <c r="E26" s="70">
        <v>246</v>
      </c>
      <c r="F26" s="70"/>
      <c r="G26" s="70"/>
      <c r="H26" s="70"/>
      <c r="I26" s="4"/>
      <c r="J26" s="90"/>
    </row>
    <row r="27" spans="2:15" ht="45.75" customHeight="1" x14ac:dyDescent="0.25">
      <c r="B27" s="220" t="s">
        <v>33</v>
      </c>
      <c r="C27" s="22" t="s">
        <v>34</v>
      </c>
      <c r="D27" s="269" t="s">
        <v>17</v>
      </c>
      <c r="E27" s="70"/>
      <c r="F27" s="70"/>
      <c r="G27" s="70"/>
      <c r="H27" s="70"/>
      <c r="I27" s="25"/>
      <c r="J27" s="90"/>
    </row>
    <row r="28" spans="2:15" ht="29.25" customHeight="1" x14ac:dyDescent="0.25">
      <c r="B28" s="231"/>
      <c r="C28" s="3" t="s">
        <v>18</v>
      </c>
      <c r="D28" s="269"/>
      <c r="E28" s="70"/>
      <c r="F28" s="70">
        <v>9.9</v>
      </c>
      <c r="G28" s="70">
        <v>9.9</v>
      </c>
      <c r="H28" s="70">
        <v>9.9</v>
      </c>
      <c r="I28" s="25"/>
      <c r="J28" s="90"/>
    </row>
    <row r="29" spans="2:15" ht="17.25" customHeight="1" x14ac:dyDescent="0.25">
      <c r="B29" s="268"/>
      <c r="C29" s="29" t="s">
        <v>35</v>
      </c>
      <c r="D29" s="269"/>
      <c r="E29" s="81">
        <v>6.9</v>
      </c>
      <c r="F29" s="70"/>
      <c r="G29" s="70"/>
      <c r="H29" s="70"/>
      <c r="I29" s="4"/>
      <c r="J29" s="90"/>
    </row>
    <row r="30" spans="2:15" ht="20.25" customHeight="1" x14ac:dyDescent="0.25">
      <c r="B30" s="220" t="s">
        <v>36</v>
      </c>
      <c r="C30" s="7" t="s">
        <v>37</v>
      </c>
      <c r="D30" s="269"/>
      <c r="E30" s="49"/>
      <c r="F30" s="70"/>
      <c r="G30" s="70"/>
      <c r="H30" s="70"/>
      <c r="I30" s="5"/>
      <c r="J30" s="90"/>
    </row>
    <row r="31" spans="2:15" ht="30.75" customHeight="1" x14ac:dyDescent="0.25">
      <c r="B31" s="231"/>
      <c r="C31" s="3" t="s">
        <v>18</v>
      </c>
      <c r="D31" s="269"/>
      <c r="E31" s="49"/>
      <c r="F31" s="70"/>
      <c r="G31" s="70">
        <v>33</v>
      </c>
      <c r="H31" s="70"/>
      <c r="I31" s="5"/>
      <c r="J31" s="90"/>
      <c r="M31" s="91"/>
      <c r="N31" s="91"/>
      <c r="O31" s="91"/>
    </row>
    <row r="32" spans="2:15" ht="16.5" customHeight="1" x14ac:dyDescent="0.25">
      <c r="B32" s="259"/>
      <c r="C32" s="29" t="s">
        <v>19</v>
      </c>
      <c r="D32" s="270"/>
      <c r="E32" s="81">
        <v>25.9</v>
      </c>
      <c r="F32" s="159">
        <v>61.7</v>
      </c>
      <c r="G32" s="161"/>
      <c r="H32" s="80"/>
      <c r="I32" s="5"/>
      <c r="J32" s="90"/>
    </row>
    <row r="33" spans="2:16" ht="20.399999999999999" customHeight="1" x14ac:dyDescent="0.25">
      <c r="B33" s="273" t="s">
        <v>38</v>
      </c>
      <c r="C33" s="89" t="s">
        <v>39</v>
      </c>
      <c r="D33" s="272" t="s">
        <v>31</v>
      </c>
      <c r="E33" s="157"/>
      <c r="F33" s="160"/>
      <c r="G33" s="160"/>
      <c r="H33" s="79"/>
      <c r="I33" s="4" t="s">
        <v>32</v>
      </c>
      <c r="J33" s="90"/>
    </row>
    <row r="34" spans="2:16" ht="31.5" customHeight="1" x14ac:dyDescent="0.25">
      <c r="B34" s="274"/>
      <c r="C34" s="88" t="s">
        <v>18</v>
      </c>
      <c r="D34" s="269"/>
      <c r="E34" s="70"/>
      <c r="F34" s="158"/>
      <c r="G34" s="158"/>
      <c r="H34" s="70">
        <v>89.6</v>
      </c>
      <c r="I34" s="5"/>
      <c r="J34" s="90"/>
    </row>
    <row r="35" spans="2:16" ht="20.399999999999999" customHeight="1" x14ac:dyDescent="0.25">
      <c r="B35" s="274"/>
      <c r="C35" s="204" t="s">
        <v>196</v>
      </c>
      <c r="D35" s="269"/>
      <c r="E35" s="70"/>
      <c r="F35" s="158"/>
      <c r="G35" s="158">
        <v>111.3</v>
      </c>
      <c r="H35" s="70"/>
      <c r="I35" s="5"/>
      <c r="J35" s="90"/>
    </row>
    <row r="36" spans="2:16" ht="14.25" customHeight="1" x14ac:dyDescent="0.25">
      <c r="B36" s="274"/>
      <c r="C36" s="29" t="s">
        <v>19</v>
      </c>
      <c r="D36" s="269"/>
      <c r="E36" s="70"/>
      <c r="F36" s="158">
        <v>2.2999999999999998</v>
      </c>
      <c r="G36" s="158"/>
      <c r="H36" s="70"/>
      <c r="I36" s="5"/>
      <c r="J36" s="90"/>
    </row>
    <row r="37" spans="2:16" ht="31.5" customHeight="1" x14ac:dyDescent="0.25">
      <c r="B37" s="275"/>
      <c r="C37" s="88" t="s">
        <v>40</v>
      </c>
      <c r="D37" s="270"/>
      <c r="E37" s="70"/>
      <c r="F37" s="70">
        <v>12.8</v>
      </c>
      <c r="G37" s="70">
        <v>627.5</v>
      </c>
      <c r="H37" s="70">
        <v>504.2</v>
      </c>
      <c r="I37" s="5"/>
      <c r="J37" s="90"/>
    </row>
    <row r="38" spans="2:16" ht="18.75" customHeight="1" x14ac:dyDescent="0.25">
      <c r="B38" s="220" t="s">
        <v>41</v>
      </c>
      <c r="C38" s="7" t="s">
        <v>42</v>
      </c>
      <c r="D38" s="269" t="s">
        <v>17</v>
      </c>
      <c r="E38" s="49"/>
      <c r="F38" s="49"/>
      <c r="G38" s="49"/>
      <c r="H38" s="49"/>
      <c r="I38" s="4" t="s">
        <v>32</v>
      </c>
      <c r="J38" s="90"/>
    </row>
    <row r="39" spans="2:16" ht="29.25" customHeight="1" x14ac:dyDescent="0.25">
      <c r="B39" s="231"/>
      <c r="C39" s="3" t="s">
        <v>18</v>
      </c>
      <c r="D39" s="269"/>
      <c r="E39" s="49"/>
      <c r="F39" s="49"/>
      <c r="G39" s="70">
        <f>0+21.1</f>
        <v>21.1</v>
      </c>
      <c r="H39" s="49"/>
      <c r="I39" s="5"/>
      <c r="J39" s="90"/>
    </row>
    <row r="40" spans="2:16" ht="18" customHeight="1" x14ac:dyDescent="0.25">
      <c r="B40" s="259"/>
      <c r="C40" s="3" t="s">
        <v>19</v>
      </c>
      <c r="D40" s="271"/>
      <c r="E40" s="70">
        <v>92</v>
      </c>
      <c r="F40" s="81">
        <f>54.3+19.4</f>
        <v>73.699999999999989</v>
      </c>
      <c r="G40" s="49"/>
      <c r="H40" s="49"/>
      <c r="I40" s="5"/>
      <c r="M40" s="90"/>
      <c r="N40" s="90"/>
      <c r="O40" s="90"/>
      <c r="P40" s="90"/>
    </row>
    <row r="41" spans="2:16" ht="19.5" customHeight="1" x14ac:dyDescent="0.25">
      <c r="B41" s="26"/>
      <c r="C41" s="27" t="s">
        <v>43</v>
      </c>
      <c r="D41" s="27"/>
      <c r="E41" s="53">
        <f>+E43+E44+E45</f>
        <v>7986.1</v>
      </c>
      <c r="F41" s="53">
        <f t="shared" ref="F41:H41" si="0">+F43+F44+F45</f>
        <v>7647.2999999999993</v>
      </c>
      <c r="G41" s="53">
        <f t="shared" si="0"/>
        <v>7673.4000000000005</v>
      </c>
      <c r="H41" s="53">
        <f t="shared" si="0"/>
        <v>7597.6</v>
      </c>
      <c r="I41" s="28"/>
      <c r="M41" s="90"/>
      <c r="N41" s="90"/>
      <c r="O41" s="90"/>
      <c r="P41" s="90"/>
    </row>
    <row r="42" spans="2:16" ht="17.25" customHeight="1" x14ac:dyDescent="0.25">
      <c r="B42" s="218"/>
      <c r="C42" s="22" t="s">
        <v>44</v>
      </c>
      <c r="D42" s="22"/>
      <c r="E42" s="52"/>
      <c r="F42" s="52"/>
      <c r="G42" s="52"/>
      <c r="H42" s="52"/>
      <c r="I42" s="24"/>
    </row>
    <row r="43" spans="2:16" ht="27.75" customHeight="1" x14ac:dyDescent="0.25">
      <c r="B43" s="219"/>
      <c r="C43" s="7" t="s">
        <v>45</v>
      </c>
      <c r="D43" s="7"/>
      <c r="E43" s="54">
        <f>SUMIF($C9:$C40,$C10,E9:E40)</f>
        <v>6664</v>
      </c>
      <c r="F43" s="54">
        <f>SUMIF($C9:$C40,$C10,F9:F40)</f>
        <v>7027.5999999999995</v>
      </c>
      <c r="G43" s="54">
        <f>SUMIF($C9:$C40,$C10,G9:G40)</f>
        <v>7562.1</v>
      </c>
      <c r="H43" s="54">
        <f>SUMIF($C9:$C40,$C10,H9:H40)</f>
        <v>7597.6</v>
      </c>
      <c r="I43" s="5"/>
    </row>
    <row r="44" spans="2:16" ht="21" customHeight="1" x14ac:dyDescent="0.25">
      <c r="B44" s="219"/>
      <c r="C44" s="205" t="s">
        <v>197</v>
      </c>
      <c r="D44" s="7"/>
      <c r="E44" s="54">
        <f>SUMIF($C10:$C41,$C35,E10:E41)</f>
        <v>0</v>
      </c>
      <c r="F44" s="54">
        <f t="shared" ref="F44:H44" si="1">SUMIF($C10:$C41,$C35,F10:F41)</f>
        <v>0</v>
      </c>
      <c r="G44" s="51">
        <f t="shared" si="1"/>
        <v>111.3</v>
      </c>
      <c r="H44" s="54">
        <f t="shared" si="1"/>
        <v>0</v>
      </c>
      <c r="I44" s="5"/>
    </row>
    <row r="45" spans="2:16" ht="20.25" customHeight="1" x14ac:dyDescent="0.25">
      <c r="B45" s="219"/>
      <c r="C45" s="7" t="s">
        <v>46</v>
      </c>
      <c r="D45" s="7"/>
      <c r="E45" s="54">
        <f>SUMIF($C9:$C40,$C11,E9:E40)</f>
        <v>1322.1000000000001</v>
      </c>
      <c r="F45" s="54">
        <f>SUMIF($C9:$C40,$C11,F9:F40)</f>
        <v>619.70000000000005</v>
      </c>
      <c r="G45" s="54">
        <f>SUMIF($C9:$C40,$C11,G9:G40)</f>
        <v>0</v>
      </c>
      <c r="H45" s="54">
        <f>SUMIF($C9:$C40,$C11,H9:H40)</f>
        <v>0</v>
      </c>
      <c r="I45" s="5"/>
    </row>
    <row r="46" spans="2:16" ht="17.25" customHeight="1" x14ac:dyDescent="0.25">
      <c r="B46" s="26"/>
      <c r="C46" s="147" t="s">
        <v>47</v>
      </c>
      <c r="D46" s="44"/>
      <c r="E46" s="53">
        <f>+E48+E49</f>
        <v>6.9</v>
      </c>
      <c r="F46" s="53">
        <f>+F48+F49</f>
        <v>12.8</v>
      </c>
      <c r="G46" s="53">
        <f t="shared" ref="G46" si="2">+G48+G49</f>
        <v>627.5</v>
      </c>
      <c r="H46" s="53">
        <f t="shared" ref="H46" si="3">+H48+H49</f>
        <v>504.2</v>
      </c>
      <c r="I46" s="28"/>
    </row>
    <row r="47" spans="2:16" ht="17.25" customHeight="1" x14ac:dyDescent="0.25">
      <c r="B47" s="276"/>
      <c r="C47" s="22" t="s">
        <v>48</v>
      </c>
      <c r="D47" s="22"/>
      <c r="E47" s="52"/>
      <c r="F47" s="52"/>
      <c r="G47" s="52"/>
      <c r="H47" s="52"/>
      <c r="I47" s="24"/>
    </row>
    <row r="48" spans="2:16" ht="17.25" customHeight="1" x14ac:dyDescent="0.25">
      <c r="B48" s="277"/>
      <c r="C48" s="89" t="s">
        <v>49</v>
      </c>
      <c r="D48" s="89"/>
      <c r="E48" s="54">
        <f>SUMIF($C9:$C40,$C37,E9:E40)</f>
        <v>0</v>
      </c>
      <c r="F48" s="54">
        <f>SUMIF($C9:$C40,$C37,F9:F40)</f>
        <v>12.8</v>
      </c>
      <c r="G48" s="54">
        <f>SUMIF($C9:$C40,$C37,G9:G40)</f>
        <v>627.5</v>
      </c>
      <c r="H48" s="54">
        <f>SUMIF($C9:$C40,$C37,H9:H40)</f>
        <v>504.2</v>
      </c>
      <c r="I48" s="24"/>
    </row>
    <row r="49" spans="2:15" ht="17.25" customHeight="1" x14ac:dyDescent="0.25">
      <c r="B49" s="278"/>
      <c r="C49" s="146" t="s">
        <v>50</v>
      </c>
      <c r="D49" s="45"/>
      <c r="E49" s="54">
        <f>SUMIF($C9:$C40,$C29,E9:E40)</f>
        <v>6.9</v>
      </c>
      <c r="F49" s="54">
        <f>SUMIF($C9:$C40,$C29,F9:F40)</f>
        <v>0</v>
      </c>
      <c r="G49" s="54">
        <f>SUMIF($C9:$C40,$C29,G9:G40)</f>
        <v>0</v>
      </c>
      <c r="H49" s="54">
        <f>SUMIF($C9:$C40,$C29,H9:H40)</f>
        <v>0</v>
      </c>
      <c r="I49" s="24"/>
    </row>
    <row r="50" spans="2:15" ht="28.5" customHeight="1" x14ac:dyDescent="0.25">
      <c r="B50" s="17" t="s">
        <v>51</v>
      </c>
      <c r="C50" s="17" t="s">
        <v>52</v>
      </c>
      <c r="D50" s="17"/>
      <c r="E50" s="55"/>
      <c r="F50" s="55"/>
      <c r="G50" s="55"/>
      <c r="H50" s="55"/>
      <c r="I50" s="18"/>
    </row>
    <row r="51" spans="2:15" ht="28.5" customHeight="1" x14ac:dyDescent="0.25">
      <c r="B51" s="19" t="s">
        <v>53</v>
      </c>
      <c r="C51" s="20" t="s">
        <v>54</v>
      </c>
      <c r="D51" s="20"/>
      <c r="E51" s="56"/>
      <c r="F51" s="56"/>
      <c r="G51" s="56"/>
      <c r="H51" s="56"/>
      <c r="I51" s="21"/>
    </row>
    <row r="52" spans="2:15" ht="28.5" customHeight="1" x14ac:dyDescent="0.25">
      <c r="B52" s="220" t="s">
        <v>55</v>
      </c>
      <c r="C52" s="7" t="s">
        <v>56</v>
      </c>
      <c r="D52" s="237" t="s">
        <v>17</v>
      </c>
      <c r="E52" s="49"/>
      <c r="F52" s="49"/>
      <c r="G52" s="49"/>
      <c r="H52" s="49"/>
      <c r="I52" s="4" t="s">
        <v>57</v>
      </c>
    </row>
    <row r="53" spans="2:15" ht="28.5" customHeight="1" x14ac:dyDescent="0.25">
      <c r="B53" s="231"/>
      <c r="C53" s="3" t="s">
        <v>18</v>
      </c>
      <c r="D53" s="238"/>
      <c r="E53" s="84">
        <v>120.3</v>
      </c>
      <c r="F53" s="85">
        <v>136.30000000000001</v>
      </c>
      <c r="G53" s="85">
        <f>107.3+5</f>
        <v>112.3</v>
      </c>
      <c r="H53" s="85">
        <v>104.5</v>
      </c>
      <c r="I53" s="4"/>
    </row>
    <row r="54" spans="2:15" ht="19.8" customHeight="1" x14ac:dyDescent="0.25">
      <c r="B54" s="232" t="s">
        <v>58</v>
      </c>
      <c r="C54" s="37" t="s">
        <v>194</v>
      </c>
      <c r="D54" s="238"/>
      <c r="E54" s="65" t="s">
        <v>24</v>
      </c>
      <c r="F54" s="66"/>
      <c r="G54" s="66"/>
      <c r="H54" s="66"/>
      <c r="I54" s="4" t="s">
        <v>59</v>
      </c>
    </row>
    <row r="55" spans="2:15" ht="30.75" customHeight="1" x14ac:dyDescent="0.25">
      <c r="B55" s="233"/>
      <c r="C55" s="43" t="s">
        <v>18</v>
      </c>
      <c r="D55" s="238"/>
      <c r="E55" s="65">
        <v>15.8</v>
      </c>
      <c r="F55" s="66">
        <v>25.2</v>
      </c>
      <c r="G55" s="66">
        <v>25.2</v>
      </c>
      <c r="H55" s="66">
        <v>25.2</v>
      </c>
      <c r="I55" s="5"/>
    </row>
    <row r="56" spans="2:15" ht="21" customHeight="1" x14ac:dyDescent="0.25">
      <c r="B56" s="232" t="s">
        <v>60</v>
      </c>
      <c r="C56" s="200" t="s">
        <v>192</v>
      </c>
      <c r="D56" s="238"/>
      <c r="E56" s="65" t="s">
        <v>24</v>
      </c>
      <c r="F56" s="66"/>
      <c r="G56" s="66"/>
      <c r="H56" s="66"/>
      <c r="I56" s="5"/>
    </row>
    <row r="57" spans="2:15" ht="27.75" customHeight="1" x14ac:dyDescent="0.25">
      <c r="B57" s="259"/>
      <c r="C57" s="29" t="s">
        <v>18</v>
      </c>
      <c r="D57" s="238"/>
      <c r="E57" s="68">
        <v>10</v>
      </c>
      <c r="F57" s="69">
        <v>8.5</v>
      </c>
      <c r="G57" s="69">
        <v>8.5</v>
      </c>
      <c r="H57" s="69">
        <v>8.5</v>
      </c>
      <c r="I57" s="5"/>
    </row>
    <row r="58" spans="2:15" ht="21.6" customHeight="1" x14ac:dyDescent="0.25">
      <c r="B58" s="232" t="s">
        <v>61</v>
      </c>
      <c r="C58" s="156" t="s">
        <v>193</v>
      </c>
      <c r="D58" s="238"/>
      <c r="E58" s="65" t="s">
        <v>24</v>
      </c>
      <c r="F58" s="66" t="s">
        <v>24</v>
      </c>
      <c r="G58" s="66" t="s">
        <v>24</v>
      </c>
      <c r="H58" s="66" t="s">
        <v>24</v>
      </c>
      <c r="I58" s="5"/>
    </row>
    <row r="59" spans="2:15" ht="30" customHeight="1" x14ac:dyDescent="0.25">
      <c r="B59" s="259"/>
      <c r="C59" s="29" t="s">
        <v>18</v>
      </c>
      <c r="D59" s="238"/>
      <c r="E59" s="68">
        <v>70</v>
      </c>
      <c r="F59" s="66"/>
      <c r="G59" s="69">
        <v>60</v>
      </c>
      <c r="H59" s="66"/>
      <c r="I59" s="5"/>
    </row>
    <row r="60" spans="2:15" ht="30.75" customHeight="1" x14ac:dyDescent="0.25">
      <c r="B60" s="232" t="s">
        <v>62</v>
      </c>
      <c r="C60" s="22" t="s">
        <v>63</v>
      </c>
      <c r="D60" s="238"/>
      <c r="E60" s="65" t="s">
        <v>24</v>
      </c>
      <c r="F60" s="66"/>
      <c r="G60" s="66"/>
      <c r="H60" s="66"/>
      <c r="I60" s="4" t="s">
        <v>64</v>
      </c>
    </row>
    <row r="61" spans="2:15" ht="30" customHeight="1" x14ac:dyDescent="0.25">
      <c r="B61" s="233"/>
      <c r="C61" s="29" t="s">
        <v>18</v>
      </c>
      <c r="D61" s="238"/>
      <c r="E61" s="68">
        <v>40</v>
      </c>
      <c r="F61" s="66"/>
      <c r="G61" s="66"/>
      <c r="H61" s="66"/>
      <c r="I61" s="5"/>
    </row>
    <row r="62" spans="2:15" ht="18" customHeight="1" x14ac:dyDescent="0.25">
      <c r="B62" s="282"/>
      <c r="C62" s="114" t="s">
        <v>19</v>
      </c>
      <c r="D62" s="238"/>
      <c r="E62" s="68"/>
      <c r="F62" s="69">
        <v>20</v>
      </c>
      <c r="G62" s="66"/>
      <c r="H62" s="66"/>
      <c r="I62" s="5"/>
    </row>
    <row r="63" spans="2:15" ht="30" customHeight="1" x14ac:dyDescent="0.25">
      <c r="B63" s="232" t="s">
        <v>65</v>
      </c>
      <c r="C63" s="47" t="s">
        <v>66</v>
      </c>
      <c r="D63" s="238"/>
      <c r="E63" s="65" t="s">
        <v>24</v>
      </c>
      <c r="F63" s="66"/>
      <c r="G63" s="66"/>
      <c r="H63" s="66"/>
      <c r="I63" s="5"/>
      <c r="M63" s="91"/>
      <c r="N63" s="91"/>
      <c r="O63" s="91"/>
    </row>
    <row r="64" spans="2:15" ht="28.5" customHeight="1" x14ac:dyDescent="0.25">
      <c r="B64" s="259"/>
      <c r="C64" s="29" t="s">
        <v>18</v>
      </c>
      <c r="D64" s="238"/>
      <c r="E64" s="68">
        <v>5</v>
      </c>
      <c r="F64" s="69">
        <v>4.3</v>
      </c>
      <c r="G64" s="69">
        <v>4.3</v>
      </c>
      <c r="H64" s="69">
        <v>4.3</v>
      </c>
      <c r="I64" s="5"/>
    </row>
    <row r="65" spans="1:16" ht="20.399999999999999" customHeight="1" x14ac:dyDescent="0.25">
      <c r="A65" s="102"/>
      <c r="B65" s="286"/>
      <c r="C65" s="103" t="s">
        <v>67</v>
      </c>
      <c r="D65" s="238"/>
      <c r="E65" s="104" t="s">
        <v>24</v>
      </c>
      <c r="F65" s="105" t="s">
        <v>24</v>
      </c>
      <c r="G65" s="105" t="s">
        <v>24</v>
      </c>
      <c r="H65" s="105" t="s">
        <v>24</v>
      </c>
      <c r="I65" s="106"/>
      <c r="J65" s="102"/>
      <c r="K65" s="102"/>
      <c r="L65" s="102"/>
      <c r="M65" s="102"/>
      <c r="N65" s="102"/>
      <c r="O65" s="102"/>
      <c r="P65" s="102"/>
    </row>
    <row r="66" spans="1:16" ht="28.5" customHeight="1" x14ac:dyDescent="0.25">
      <c r="A66" s="102"/>
      <c r="B66" s="287"/>
      <c r="C66" s="107" t="s">
        <v>18</v>
      </c>
      <c r="D66" s="238"/>
      <c r="E66" s="108">
        <v>2</v>
      </c>
      <c r="F66" s="105"/>
      <c r="G66" s="105"/>
      <c r="H66" s="105"/>
      <c r="I66" s="106"/>
      <c r="J66" s="102"/>
      <c r="K66" s="102"/>
      <c r="L66" s="102"/>
      <c r="M66" s="102"/>
      <c r="N66" s="102"/>
      <c r="O66" s="102"/>
      <c r="P66" s="102"/>
    </row>
    <row r="67" spans="1:16" ht="47.25" customHeight="1" x14ac:dyDescent="0.25">
      <c r="B67" s="260" t="s">
        <v>68</v>
      </c>
      <c r="C67" s="86" t="s">
        <v>69</v>
      </c>
      <c r="D67" s="238"/>
      <c r="E67" s="65" t="s">
        <v>24</v>
      </c>
      <c r="F67" s="66" t="s">
        <v>24</v>
      </c>
      <c r="G67" s="66" t="s">
        <v>24</v>
      </c>
      <c r="H67" s="66" t="s">
        <v>24</v>
      </c>
      <c r="I67" s="109" t="s">
        <v>70</v>
      </c>
    </row>
    <row r="68" spans="1:16" ht="28.5" customHeight="1" x14ac:dyDescent="0.25">
      <c r="B68" s="285"/>
      <c r="C68" s="87" t="s">
        <v>18</v>
      </c>
      <c r="D68" s="238"/>
      <c r="E68" s="68"/>
      <c r="F68" s="69"/>
      <c r="G68" s="69">
        <v>150</v>
      </c>
      <c r="H68" s="66"/>
      <c r="I68" s="5"/>
    </row>
    <row r="69" spans="1:16" ht="30" customHeight="1" x14ac:dyDescent="0.25">
      <c r="B69" s="283"/>
      <c r="C69" s="138" t="s">
        <v>71</v>
      </c>
      <c r="D69" s="238"/>
      <c r="E69" s="139"/>
      <c r="F69" s="69"/>
      <c r="G69" s="66"/>
      <c r="H69" s="66"/>
      <c r="I69" s="5"/>
      <c r="J69" s="155"/>
    </row>
    <row r="70" spans="1:16" ht="16.2" customHeight="1" x14ac:dyDescent="0.25">
      <c r="B70" s="284"/>
      <c r="C70" s="140" t="s">
        <v>72</v>
      </c>
      <c r="D70" s="239"/>
      <c r="E70" s="139">
        <v>14.3</v>
      </c>
      <c r="F70" s="69"/>
      <c r="G70" s="66"/>
      <c r="H70" s="66"/>
      <c r="I70" s="5"/>
      <c r="K70" s="91"/>
      <c r="L70" s="91"/>
      <c r="M70" s="91"/>
      <c r="N70" s="91"/>
    </row>
    <row r="71" spans="1:16" ht="17.25" customHeight="1" x14ac:dyDescent="0.25">
      <c r="B71" s="26"/>
      <c r="C71" s="27" t="s">
        <v>43</v>
      </c>
      <c r="D71" s="144"/>
      <c r="E71" s="57">
        <f>+E73+E74</f>
        <v>263.10000000000002</v>
      </c>
      <c r="F71" s="57">
        <f>+F73+F74</f>
        <v>194.3</v>
      </c>
      <c r="G71" s="57">
        <f t="shared" ref="G71:H71" si="4">+G73+G74</f>
        <v>360.3</v>
      </c>
      <c r="H71" s="57">
        <f t="shared" si="4"/>
        <v>142.5</v>
      </c>
      <c r="I71" s="28"/>
      <c r="K71" s="90"/>
      <c r="L71" s="90"/>
      <c r="M71" s="90"/>
      <c r="N71" s="90"/>
    </row>
    <row r="72" spans="1:16" ht="17.25" customHeight="1" x14ac:dyDescent="0.25">
      <c r="B72" s="218"/>
      <c r="C72" s="36" t="s">
        <v>44</v>
      </c>
      <c r="D72" s="36"/>
      <c r="E72" s="51"/>
      <c r="F72" s="51"/>
      <c r="G72" s="51"/>
      <c r="H72" s="51"/>
      <c r="I72" s="23"/>
    </row>
    <row r="73" spans="1:16" ht="27.75" customHeight="1" x14ac:dyDescent="0.25">
      <c r="B73" s="219"/>
      <c r="C73" s="148" t="s">
        <v>45</v>
      </c>
      <c r="D73" s="33"/>
      <c r="E73" s="58">
        <f>SUMIF($C52:$C70,$C53,E52:E70)</f>
        <v>263.10000000000002</v>
      </c>
      <c r="F73" s="58">
        <f t="shared" ref="F73:H73" si="5">SUMIF($C52:$C70,$C53,F52:F70)</f>
        <v>174.3</v>
      </c>
      <c r="G73" s="58">
        <f t="shared" si="5"/>
        <v>360.3</v>
      </c>
      <c r="H73" s="58">
        <f t="shared" si="5"/>
        <v>142.5</v>
      </c>
      <c r="I73" s="34"/>
    </row>
    <row r="74" spans="1:16" ht="16.5" customHeight="1" x14ac:dyDescent="0.25">
      <c r="B74" s="197"/>
      <c r="C74" s="33" t="s">
        <v>46</v>
      </c>
      <c r="D74" s="33"/>
      <c r="E74" s="54">
        <f>SUMIF($C54:$C70,$C62,E54:E70)</f>
        <v>0</v>
      </c>
      <c r="F74" s="54">
        <f>SUMIF($C54:$C70,$C62,F54:F70)</f>
        <v>20</v>
      </c>
      <c r="G74" s="54">
        <f>SUMIF($C54:$C70,$C65,G54:G70)</f>
        <v>0</v>
      </c>
      <c r="H74" s="54">
        <f>SUMIF($C54:$C70,$C65,H54:H70)</f>
        <v>0</v>
      </c>
      <c r="I74" s="34"/>
    </row>
    <row r="75" spans="1:16" ht="18" customHeight="1" x14ac:dyDescent="0.25">
      <c r="B75" s="122"/>
      <c r="C75" s="149" t="s">
        <v>47</v>
      </c>
      <c r="D75" s="150"/>
      <c r="E75" s="121">
        <f>+E77</f>
        <v>14.3</v>
      </c>
      <c r="F75" s="121">
        <f t="shared" ref="F75:H75" si="6">+F77</f>
        <v>0</v>
      </c>
      <c r="G75" s="121">
        <f t="shared" si="6"/>
        <v>0</v>
      </c>
      <c r="H75" s="121">
        <f t="shared" si="6"/>
        <v>0</v>
      </c>
      <c r="I75" s="93"/>
    </row>
    <row r="76" spans="1:16" ht="18" customHeight="1" x14ac:dyDescent="0.25">
      <c r="B76" s="97"/>
      <c r="C76" s="123" t="s">
        <v>48</v>
      </c>
      <c r="D76" s="145"/>
      <c r="E76" s="58"/>
      <c r="F76" s="58"/>
      <c r="G76" s="58"/>
      <c r="H76" s="58"/>
      <c r="I76" s="34"/>
    </row>
    <row r="77" spans="1:16" ht="19.5" customHeight="1" x14ac:dyDescent="0.25">
      <c r="B77" s="97"/>
      <c r="C77" s="124" t="s">
        <v>73</v>
      </c>
      <c r="D77" s="124"/>
      <c r="E77" s="58">
        <f>SUMIF($C52:$C70,$C70,E52:E70)</f>
        <v>14.3</v>
      </c>
      <c r="F77" s="58">
        <f t="shared" ref="F77:H77" si="7">SUMIF($C52:$C70,$C70,F52:F70)</f>
        <v>0</v>
      </c>
      <c r="G77" s="58">
        <f t="shared" si="7"/>
        <v>0</v>
      </c>
      <c r="H77" s="58">
        <f t="shared" si="7"/>
        <v>0</v>
      </c>
      <c r="I77" s="34"/>
    </row>
    <row r="78" spans="1:16" ht="30.75" customHeight="1" x14ac:dyDescent="0.25">
      <c r="B78" s="17" t="s">
        <v>74</v>
      </c>
      <c r="C78" s="30" t="s">
        <v>75</v>
      </c>
      <c r="D78" s="30"/>
      <c r="E78" s="59"/>
      <c r="F78" s="59"/>
      <c r="G78" s="59"/>
      <c r="H78" s="59"/>
      <c r="I78" s="18"/>
    </row>
    <row r="79" spans="1:16" ht="19.5" customHeight="1" x14ac:dyDescent="0.25">
      <c r="B79" s="19" t="s">
        <v>76</v>
      </c>
      <c r="C79" s="31" t="s">
        <v>77</v>
      </c>
      <c r="D79" s="31"/>
      <c r="E79" s="56"/>
      <c r="F79" s="56"/>
      <c r="G79" s="56"/>
      <c r="H79" s="56"/>
      <c r="I79" s="21"/>
    </row>
    <row r="80" spans="1:16" ht="15" customHeight="1" x14ac:dyDescent="0.25">
      <c r="B80" s="220" t="s">
        <v>78</v>
      </c>
      <c r="C80" s="46" t="s">
        <v>79</v>
      </c>
      <c r="D80" s="212" t="s">
        <v>17</v>
      </c>
      <c r="E80" s="50"/>
      <c r="F80" s="50"/>
      <c r="G80" s="50"/>
      <c r="H80" s="50"/>
      <c r="I80" s="4"/>
    </row>
    <row r="81" spans="2:13" ht="28.5" customHeight="1" x14ac:dyDescent="0.25">
      <c r="B81" s="221"/>
      <c r="C81" s="3" t="s">
        <v>18</v>
      </c>
      <c r="D81" s="213"/>
      <c r="E81" s="70">
        <f>11+0.7</f>
        <v>11.7</v>
      </c>
      <c r="F81" s="70">
        <v>13</v>
      </c>
      <c r="G81" s="70">
        <v>13</v>
      </c>
      <c r="H81" s="70">
        <v>13</v>
      </c>
      <c r="I81" s="9"/>
    </row>
    <row r="82" spans="2:13" ht="28.2" customHeight="1" x14ac:dyDescent="0.25">
      <c r="B82" s="220" t="s">
        <v>80</v>
      </c>
      <c r="C82" s="7" t="s">
        <v>81</v>
      </c>
      <c r="D82" s="213"/>
      <c r="E82" s="50"/>
      <c r="F82" s="50"/>
      <c r="G82" s="50"/>
      <c r="H82" s="50"/>
      <c r="I82" s="10"/>
    </row>
    <row r="83" spans="2:13" ht="27" customHeight="1" x14ac:dyDescent="0.25">
      <c r="B83" s="221"/>
      <c r="C83" s="3" t="s">
        <v>18</v>
      </c>
      <c r="D83" s="214"/>
      <c r="E83" s="70">
        <f>30+3.3</f>
        <v>33.299999999999997</v>
      </c>
      <c r="F83" s="70">
        <v>45.3</v>
      </c>
      <c r="G83" s="70">
        <v>45.3</v>
      </c>
      <c r="H83" s="70">
        <v>45.3</v>
      </c>
      <c r="I83" s="10"/>
    </row>
    <row r="84" spans="2:13" ht="17.25" customHeight="1" x14ac:dyDescent="0.25">
      <c r="B84" s="220" t="s">
        <v>82</v>
      </c>
      <c r="C84" s="11" t="s">
        <v>83</v>
      </c>
      <c r="D84" s="215" t="s">
        <v>17</v>
      </c>
      <c r="E84" s="50"/>
      <c r="F84" s="50"/>
      <c r="G84" s="50"/>
      <c r="H84" s="50"/>
      <c r="I84" s="4" t="s">
        <v>84</v>
      </c>
    </row>
    <row r="85" spans="2:13" ht="30.9" customHeight="1" x14ac:dyDescent="0.25">
      <c r="B85" s="231"/>
      <c r="C85" s="43" t="s">
        <v>18</v>
      </c>
      <c r="D85" s="213"/>
      <c r="E85" s="70">
        <v>248.4</v>
      </c>
      <c r="F85" s="70">
        <f>145.2+5-150.2+125.6+22.8</f>
        <v>148.4</v>
      </c>
      <c r="G85" s="70">
        <f>285.9+5+10</f>
        <v>300.89999999999998</v>
      </c>
      <c r="H85" s="70">
        <f>381.7-98.9</f>
        <v>282.79999999999995</v>
      </c>
      <c r="I85" s="10"/>
      <c r="J85" s="195"/>
      <c r="K85" s="193"/>
    </row>
    <row r="86" spans="2:13" ht="21" customHeight="1" x14ac:dyDescent="0.25">
      <c r="B86" s="221"/>
      <c r="C86" s="114" t="s">
        <v>19</v>
      </c>
      <c r="D86" s="214"/>
      <c r="E86" s="70">
        <v>34.799999999999997</v>
      </c>
      <c r="F86" s="49"/>
      <c r="G86" s="49"/>
      <c r="H86" s="49"/>
      <c r="I86" s="10"/>
      <c r="K86" s="90"/>
    </row>
    <row r="87" spans="2:13" ht="36.6" customHeight="1" x14ac:dyDescent="0.25">
      <c r="B87" s="232" t="s">
        <v>85</v>
      </c>
      <c r="C87" s="92" t="s">
        <v>195</v>
      </c>
      <c r="D87" s="212" t="s">
        <v>86</v>
      </c>
      <c r="E87" s="52"/>
      <c r="F87" s="52"/>
      <c r="G87" s="52"/>
      <c r="H87" s="52"/>
      <c r="I87" s="4"/>
      <c r="J87" s="196"/>
    </row>
    <row r="88" spans="2:13" ht="28.5" customHeight="1" x14ac:dyDescent="0.25">
      <c r="B88" s="233"/>
      <c r="C88" s="29" t="s">
        <v>18</v>
      </c>
      <c r="D88" s="213"/>
      <c r="E88" s="70"/>
      <c r="F88" s="70">
        <f>200.3+158.5</f>
        <v>358.8</v>
      </c>
      <c r="G88" s="70"/>
      <c r="H88" s="70"/>
      <c r="I88" s="10"/>
      <c r="J88" s="192"/>
      <c r="K88" s="177"/>
    </row>
    <row r="89" spans="2:13" ht="25.5" customHeight="1" x14ac:dyDescent="0.25">
      <c r="B89" s="233"/>
      <c r="C89" s="29" t="s">
        <v>19</v>
      </c>
      <c r="D89" s="213"/>
      <c r="E89" s="80">
        <v>50.6</v>
      </c>
      <c r="F89" s="80">
        <v>231.6</v>
      </c>
      <c r="G89" s="80"/>
      <c r="H89" s="80"/>
      <c r="I89" s="10"/>
      <c r="J89" s="184"/>
      <c r="K89" s="194"/>
      <c r="L89" s="90"/>
      <c r="M89" s="90"/>
    </row>
    <row r="90" spans="2:13" ht="28.5" customHeight="1" x14ac:dyDescent="0.25">
      <c r="B90" s="233"/>
      <c r="C90" s="29" t="s">
        <v>18</v>
      </c>
      <c r="D90" s="213"/>
      <c r="E90" s="80">
        <f>13.1-12.1</f>
        <v>1</v>
      </c>
      <c r="F90" s="80"/>
      <c r="G90" s="80"/>
      <c r="H90" s="80"/>
      <c r="I90" s="10"/>
      <c r="J90" s="184"/>
      <c r="K90" s="194"/>
    </row>
    <row r="91" spans="2:13" ht="18.600000000000001" customHeight="1" x14ac:dyDescent="0.25">
      <c r="B91" s="288"/>
      <c r="C91" s="29" t="s">
        <v>19</v>
      </c>
      <c r="D91" s="213"/>
      <c r="E91" s="185">
        <f>110-50.6</f>
        <v>59.4</v>
      </c>
      <c r="F91" s="186"/>
      <c r="G91" s="186"/>
      <c r="H91" s="186"/>
      <c r="I91" s="10"/>
      <c r="J91" s="198"/>
      <c r="K91" s="199"/>
    </row>
    <row r="92" spans="2:13" ht="18.75" customHeight="1" x14ac:dyDescent="0.25">
      <c r="B92" s="261" t="s">
        <v>87</v>
      </c>
      <c r="C92" s="92" t="s">
        <v>88</v>
      </c>
      <c r="D92" s="213"/>
      <c r="E92" s="52"/>
      <c r="F92" s="52"/>
      <c r="G92" s="52"/>
      <c r="H92" s="52"/>
      <c r="I92" s="4"/>
      <c r="J92" s="196"/>
      <c r="K92" s="194"/>
    </row>
    <row r="93" spans="2:13" ht="28.5" customHeight="1" x14ac:dyDescent="0.25">
      <c r="B93" s="261"/>
      <c r="C93" s="87" t="s">
        <v>18</v>
      </c>
      <c r="D93" s="213"/>
      <c r="E93" s="80"/>
      <c r="F93" s="80">
        <v>24.4</v>
      </c>
      <c r="G93" s="80">
        <v>26.8</v>
      </c>
      <c r="H93" s="80">
        <v>29.5</v>
      </c>
      <c r="I93" s="10"/>
      <c r="J93" s="184"/>
      <c r="K93" s="169"/>
    </row>
    <row r="94" spans="2:13" ht="18.600000000000001" customHeight="1" x14ac:dyDescent="0.25">
      <c r="B94" s="262"/>
      <c r="C94" s="87" t="s">
        <v>19</v>
      </c>
      <c r="D94" s="213"/>
      <c r="E94" s="185"/>
      <c r="F94" s="186"/>
      <c r="G94" s="186"/>
      <c r="H94" s="186"/>
      <c r="I94" s="10"/>
      <c r="J94" s="163"/>
      <c r="K94" s="163"/>
    </row>
    <row r="95" spans="2:13" ht="17.25" customHeight="1" x14ac:dyDescent="0.25">
      <c r="B95" s="223" t="s">
        <v>89</v>
      </c>
      <c r="C95" s="175" t="s">
        <v>90</v>
      </c>
      <c r="D95" s="213"/>
      <c r="E95" s="187" t="s">
        <v>24</v>
      </c>
      <c r="F95" s="187"/>
      <c r="G95" s="187"/>
      <c r="H95" s="187"/>
      <c r="I95" s="10"/>
    </row>
    <row r="96" spans="2:13" ht="28.5" customHeight="1" x14ac:dyDescent="0.25">
      <c r="B96" s="224"/>
      <c r="C96" s="188" t="s">
        <v>18</v>
      </c>
      <c r="D96" s="267"/>
      <c r="E96" s="66">
        <v>6.7</v>
      </c>
      <c r="F96" s="66">
        <v>6.7</v>
      </c>
      <c r="G96" s="66">
        <v>7.4</v>
      </c>
      <c r="H96" s="66">
        <v>8.1</v>
      </c>
      <c r="I96" s="10"/>
    </row>
    <row r="97" spans="2:17" ht="22.5" customHeight="1" x14ac:dyDescent="0.25">
      <c r="B97" s="223" t="s">
        <v>91</v>
      </c>
      <c r="C97" s="175" t="s">
        <v>92</v>
      </c>
      <c r="D97" s="266" t="s">
        <v>17</v>
      </c>
      <c r="E97" s="187" t="s">
        <v>24</v>
      </c>
      <c r="F97" s="187"/>
      <c r="G97" s="187"/>
      <c r="H97" s="187"/>
      <c r="I97" s="10"/>
    </row>
    <row r="98" spans="2:17" ht="32.4" customHeight="1" x14ac:dyDescent="0.25">
      <c r="B98" s="224"/>
      <c r="C98" s="188" t="s">
        <v>18</v>
      </c>
      <c r="D98" s="214"/>
      <c r="E98" s="66"/>
      <c r="F98" s="66">
        <f>22.3+3</f>
        <v>25.3</v>
      </c>
      <c r="G98" s="66">
        <f>48.4+2</f>
        <v>50.4</v>
      </c>
      <c r="H98" s="66"/>
      <c r="I98" s="10"/>
      <c r="J98" s="6"/>
      <c r="K98" s="6"/>
      <c r="M98" s="90"/>
      <c r="N98" s="90"/>
      <c r="O98" s="90"/>
      <c r="P98" s="90"/>
    </row>
    <row r="99" spans="2:17" ht="17.25" customHeight="1" x14ac:dyDescent="0.25">
      <c r="B99" s="26"/>
      <c r="C99" s="27" t="s">
        <v>43</v>
      </c>
      <c r="D99" s="27"/>
      <c r="E99" s="53">
        <f>+E101+E102</f>
        <v>445.9</v>
      </c>
      <c r="F99" s="53">
        <f t="shared" ref="F99:G99" si="8">+F101+F102</f>
        <v>853.5</v>
      </c>
      <c r="G99" s="53">
        <f t="shared" si="8"/>
        <v>443.79999999999995</v>
      </c>
      <c r="H99" s="53">
        <f t="shared" ref="H99" si="9">+H101+H102</f>
        <v>378.7</v>
      </c>
      <c r="I99" s="14"/>
      <c r="M99" s="91"/>
    </row>
    <row r="100" spans="2:17" ht="17.25" customHeight="1" x14ac:dyDescent="0.25">
      <c r="B100" s="218"/>
      <c r="C100" s="37" t="s">
        <v>44</v>
      </c>
      <c r="D100" s="37"/>
      <c r="E100" s="51"/>
      <c r="F100" s="51"/>
      <c r="G100" s="51"/>
      <c r="H100" s="51"/>
      <c r="I100" s="13"/>
    </row>
    <row r="101" spans="2:17" ht="27.75" customHeight="1" x14ac:dyDescent="0.25">
      <c r="B101" s="219"/>
      <c r="C101" s="33" t="s">
        <v>45</v>
      </c>
      <c r="D101" s="33"/>
      <c r="E101" s="54">
        <f>SUMIF($C80:$C98,$C81,E80:E98)</f>
        <v>301.09999999999997</v>
      </c>
      <c r="F101" s="54">
        <f>SUMIF($C80:$C98,$C81,F80:F98)</f>
        <v>621.9</v>
      </c>
      <c r="G101" s="54">
        <f>SUMIF($C80:$C98,$C81,G80:G98)</f>
        <v>443.79999999999995</v>
      </c>
      <c r="H101" s="54">
        <f>SUMIF($C80:$C98,$C81,H80:H98)</f>
        <v>378.7</v>
      </c>
      <c r="I101" s="35"/>
    </row>
    <row r="102" spans="2:17" ht="22.5" customHeight="1" x14ac:dyDescent="0.25">
      <c r="B102" s="97"/>
      <c r="C102" s="22" t="s">
        <v>46</v>
      </c>
      <c r="D102" s="22"/>
      <c r="E102" s="54">
        <f>SUMIF($C80:$C98,$C91,E80:E98)</f>
        <v>144.80000000000001</v>
      </c>
      <c r="F102" s="54">
        <f>SUMIF($C80:$C98,$C91,F80:F98)</f>
        <v>231.6</v>
      </c>
      <c r="G102" s="54">
        <f>SUMIF($C80:$C98,$C91,G80:G98)</f>
        <v>0</v>
      </c>
      <c r="H102" s="54">
        <f>SUMIF($C80:$C98,$C91,H80:H98)</f>
        <v>0</v>
      </c>
      <c r="I102" s="35"/>
    </row>
    <row r="103" spans="2:17" ht="27" customHeight="1" x14ac:dyDescent="0.25">
      <c r="B103" s="19" t="s">
        <v>93</v>
      </c>
      <c r="C103" s="31" t="s">
        <v>94</v>
      </c>
      <c r="D103" s="31"/>
      <c r="E103" s="56"/>
      <c r="F103" s="56"/>
      <c r="G103" s="56"/>
      <c r="H103" s="56"/>
      <c r="I103" s="21"/>
      <c r="Q103" s="162"/>
    </row>
    <row r="104" spans="2:17" ht="18" customHeight="1" x14ac:dyDescent="0.25">
      <c r="B104" s="279" t="s">
        <v>95</v>
      </c>
      <c r="C104" s="71" t="s">
        <v>96</v>
      </c>
      <c r="D104" s="241" t="s">
        <v>17</v>
      </c>
      <c r="E104" s="50"/>
      <c r="F104" s="50"/>
      <c r="G104" s="50"/>
      <c r="H104" s="50"/>
      <c r="I104" s="4" t="s">
        <v>97</v>
      </c>
    </row>
    <row r="105" spans="2:17" ht="28.5" customHeight="1" x14ac:dyDescent="0.25">
      <c r="B105" s="280"/>
      <c r="C105" s="72" t="s">
        <v>18</v>
      </c>
      <c r="D105" s="251"/>
      <c r="E105" s="70">
        <v>54.1</v>
      </c>
      <c r="F105" s="70">
        <v>133.1</v>
      </c>
      <c r="G105" s="70">
        <v>133.1</v>
      </c>
      <c r="H105" s="70">
        <v>133.1</v>
      </c>
      <c r="I105" s="5"/>
    </row>
    <row r="106" spans="2:17" ht="22.5" customHeight="1" x14ac:dyDescent="0.25">
      <c r="B106" s="281"/>
      <c r="C106" s="3" t="s">
        <v>19</v>
      </c>
      <c r="D106" s="242"/>
      <c r="E106" s="70">
        <v>85.3</v>
      </c>
      <c r="F106" s="70"/>
      <c r="G106" s="70"/>
      <c r="H106" s="70"/>
      <c r="I106" s="5"/>
    </row>
    <row r="107" spans="2:17" ht="16.2" customHeight="1" x14ac:dyDescent="0.25">
      <c r="B107" s="220"/>
      <c r="C107" s="48" t="s">
        <v>98</v>
      </c>
      <c r="D107" s="209" t="s">
        <v>99</v>
      </c>
      <c r="E107" s="51"/>
      <c r="F107" s="51"/>
      <c r="G107" s="51"/>
      <c r="H107" s="51"/>
      <c r="I107" s="113" t="s">
        <v>97</v>
      </c>
    </row>
    <row r="108" spans="2:17" ht="43.8" customHeight="1" x14ac:dyDescent="0.25">
      <c r="B108" s="231"/>
      <c r="C108" s="114" t="s">
        <v>18</v>
      </c>
      <c r="D108" s="265"/>
      <c r="E108" s="136">
        <f>53.6+21.2</f>
        <v>74.8</v>
      </c>
      <c r="F108" s="141"/>
      <c r="G108" s="142"/>
      <c r="H108" s="111"/>
      <c r="I108" s="23"/>
    </row>
    <row r="109" spans="2:17" ht="28.8" customHeight="1" x14ac:dyDescent="0.25">
      <c r="B109" s="260" t="s">
        <v>100</v>
      </c>
      <c r="C109" s="189" t="s">
        <v>101</v>
      </c>
      <c r="D109" s="209" t="s">
        <v>99</v>
      </c>
      <c r="E109" s="136"/>
      <c r="F109" s="142"/>
      <c r="G109" s="142"/>
      <c r="H109" s="111"/>
      <c r="I109" s="113" t="s">
        <v>102</v>
      </c>
    </row>
    <row r="110" spans="2:17" ht="36" customHeight="1" x14ac:dyDescent="0.25">
      <c r="B110" s="261"/>
      <c r="C110" s="114" t="s">
        <v>18</v>
      </c>
      <c r="D110" s="263"/>
      <c r="E110" s="136"/>
      <c r="F110" s="190">
        <v>59.2</v>
      </c>
      <c r="G110" s="168"/>
      <c r="H110" s="180"/>
      <c r="I110" s="23"/>
    </row>
    <row r="111" spans="2:17" ht="26.25" customHeight="1" x14ac:dyDescent="0.25">
      <c r="B111" s="261"/>
      <c r="C111" s="87" t="s">
        <v>18</v>
      </c>
      <c r="D111" s="264" t="s">
        <v>103</v>
      </c>
      <c r="E111" s="166"/>
      <c r="F111" s="179"/>
      <c r="G111" s="181"/>
      <c r="H111" s="182">
        <v>18</v>
      </c>
      <c r="I111" s="23"/>
    </row>
    <row r="112" spans="2:17" ht="26.25" customHeight="1" x14ac:dyDescent="0.25">
      <c r="B112" s="261"/>
      <c r="C112" s="206" t="s">
        <v>196</v>
      </c>
      <c r="D112" s="210"/>
      <c r="E112" s="166"/>
      <c r="F112" s="179"/>
      <c r="G112" s="190">
        <v>25.5</v>
      </c>
      <c r="H112" s="182"/>
      <c r="I112" s="23"/>
    </row>
    <row r="113" spans="2:17" ht="21.75" customHeight="1" x14ac:dyDescent="0.25">
      <c r="B113" s="262"/>
      <c r="C113" s="88" t="s">
        <v>40</v>
      </c>
      <c r="D113" s="265"/>
      <c r="E113" s="166"/>
      <c r="F113" s="181"/>
      <c r="G113" s="181">
        <v>142.5</v>
      </c>
      <c r="H113" s="182">
        <v>100</v>
      </c>
      <c r="I113" s="23"/>
    </row>
    <row r="114" spans="2:17" ht="21.75" customHeight="1" x14ac:dyDescent="0.25">
      <c r="B114" s="202"/>
      <c r="C114" s="207" t="s">
        <v>198</v>
      </c>
      <c r="D114" s="209" t="s">
        <v>17</v>
      </c>
      <c r="E114" s="166"/>
      <c r="F114" s="181"/>
      <c r="G114" s="181"/>
      <c r="H114" s="182"/>
      <c r="I114" s="23"/>
    </row>
    <row r="115" spans="2:17" ht="20.399999999999999" customHeight="1" x14ac:dyDescent="0.25">
      <c r="B115" s="202"/>
      <c r="C115" s="87" t="s">
        <v>19</v>
      </c>
      <c r="D115" s="210"/>
      <c r="E115" s="81">
        <v>5.9</v>
      </c>
      <c r="F115" s="181"/>
      <c r="G115" s="181"/>
      <c r="H115" s="182"/>
      <c r="I115" s="23"/>
    </row>
    <row r="116" spans="2:17" ht="30" customHeight="1" x14ac:dyDescent="0.25">
      <c r="B116" s="202"/>
      <c r="C116" s="189" t="s">
        <v>199</v>
      </c>
      <c r="D116" s="203"/>
      <c r="E116" s="166"/>
      <c r="F116" s="181"/>
      <c r="G116" s="181"/>
      <c r="H116" s="182"/>
      <c r="I116" s="23"/>
    </row>
    <row r="117" spans="2:17" ht="30.6" customHeight="1" x14ac:dyDescent="0.25">
      <c r="B117" s="202"/>
      <c r="C117" s="87" t="s">
        <v>18</v>
      </c>
      <c r="D117" s="203"/>
      <c r="E117" s="208">
        <v>6.1</v>
      </c>
      <c r="F117" s="181"/>
      <c r="G117" s="181"/>
      <c r="H117" s="182"/>
      <c r="I117" s="23"/>
    </row>
    <row r="118" spans="2:17" ht="33" customHeight="1" x14ac:dyDescent="0.25">
      <c r="B118" s="225" t="s">
        <v>104</v>
      </c>
      <c r="C118" s="178" t="s">
        <v>105</v>
      </c>
      <c r="D118" s="244" t="s">
        <v>31</v>
      </c>
      <c r="E118" s="49"/>
      <c r="F118" s="49"/>
      <c r="G118" s="49"/>
      <c r="H118" s="49"/>
      <c r="I118" s="4" t="s">
        <v>97</v>
      </c>
    </row>
    <row r="119" spans="2:17" ht="29.25" customHeight="1" x14ac:dyDescent="0.25">
      <c r="B119" s="226"/>
      <c r="C119" s="3" t="s">
        <v>18</v>
      </c>
      <c r="D119" s="213"/>
      <c r="E119" s="136">
        <f>33.4-27.7</f>
        <v>5.6999999999999993</v>
      </c>
      <c r="F119" s="136">
        <v>225.3</v>
      </c>
      <c r="G119" s="70">
        <f>502.3-202</f>
        <v>300.3</v>
      </c>
      <c r="H119" s="70"/>
      <c r="I119" s="5"/>
      <c r="L119" s="90"/>
      <c r="M119" s="90"/>
    </row>
    <row r="120" spans="2:17" ht="29.25" customHeight="1" x14ac:dyDescent="0.25">
      <c r="B120" s="226"/>
      <c r="C120" s="206" t="s">
        <v>196</v>
      </c>
      <c r="D120" s="213"/>
      <c r="E120" s="136"/>
      <c r="F120" s="136"/>
      <c r="G120" s="70">
        <v>202</v>
      </c>
      <c r="H120" s="70"/>
      <c r="I120" s="5"/>
      <c r="L120" s="90"/>
      <c r="M120" s="90"/>
    </row>
    <row r="121" spans="2:17" ht="24" customHeight="1" x14ac:dyDescent="0.25">
      <c r="B121" s="227"/>
      <c r="C121" s="88" t="s">
        <v>40</v>
      </c>
      <c r="D121" s="214"/>
      <c r="E121" s="70"/>
      <c r="F121" s="70">
        <v>1301.7</v>
      </c>
      <c r="G121" s="70">
        <v>1153.3</v>
      </c>
      <c r="H121" s="70"/>
      <c r="I121" s="5"/>
      <c r="L121" s="90"/>
    </row>
    <row r="122" spans="2:17" ht="17.25" customHeight="1" x14ac:dyDescent="0.25">
      <c r="B122" s="26"/>
      <c r="C122" s="27" t="s">
        <v>43</v>
      </c>
      <c r="D122" s="27"/>
      <c r="E122" s="53">
        <f>+E124+E126+E125</f>
        <v>231.89999999999998</v>
      </c>
      <c r="F122" s="53">
        <f t="shared" ref="F122:H122" si="10">+F124+F126+F125</f>
        <v>417.6</v>
      </c>
      <c r="G122" s="53">
        <f t="shared" si="10"/>
        <v>660.9</v>
      </c>
      <c r="H122" s="53">
        <f t="shared" si="10"/>
        <v>151.1</v>
      </c>
      <c r="I122" s="28"/>
      <c r="L122" s="90"/>
      <c r="M122" s="90"/>
      <c r="N122" s="90"/>
      <c r="O122" s="90"/>
      <c r="P122" s="90"/>
    </row>
    <row r="123" spans="2:17" ht="17.25" customHeight="1" x14ac:dyDescent="0.25">
      <c r="B123" s="228"/>
      <c r="C123" s="22" t="s">
        <v>44</v>
      </c>
      <c r="D123" s="22"/>
      <c r="E123" s="52"/>
      <c r="F123" s="52"/>
      <c r="G123" s="52"/>
      <c r="H123" s="52"/>
      <c r="I123" s="24"/>
      <c r="L123" s="90"/>
      <c r="M123" s="90"/>
      <c r="N123" s="90"/>
      <c r="O123" s="90"/>
      <c r="P123" s="90"/>
      <c r="Q123" s="90"/>
    </row>
    <row r="124" spans="2:17" ht="27.75" customHeight="1" x14ac:dyDescent="0.25">
      <c r="B124" s="229"/>
      <c r="C124" s="33" t="s">
        <v>45</v>
      </c>
      <c r="D124" s="33"/>
      <c r="E124" s="54">
        <f>SUMIF($C104:$C121,$C105,E104:E121)</f>
        <v>140.69999999999999</v>
      </c>
      <c r="F124" s="54">
        <f>SUMIF($C104:$C121,$C105,F104:F121)</f>
        <v>417.6</v>
      </c>
      <c r="G124" s="54">
        <f>SUMIF($C104:$C121,$C105,G104:G121)</f>
        <v>433.4</v>
      </c>
      <c r="H124" s="54">
        <f>SUMIF($C104:$C121,$C105,H104:H121)</f>
        <v>151.1</v>
      </c>
      <c r="I124" s="5"/>
    </row>
    <row r="125" spans="2:17" ht="27.75" customHeight="1" x14ac:dyDescent="0.25">
      <c r="B125" s="229"/>
      <c r="C125" s="205" t="s">
        <v>197</v>
      </c>
      <c r="D125" s="33"/>
      <c r="E125" s="54">
        <f>SUMIF($C105:$C122,$C112,E105:E122)</f>
        <v>0</v>
      </c>
      <c r="F125" s="54">
        <f>SUMIF($C105:$C122,$C112,F105:F122)</f>
        <v>0</v>
      </c>
      <c r="G125" s="51">
        <f>SUMIF($C105:$C122,$C112,G105:G122)</f>
        <v>227.5</v>
      </c>
      <c r="H125" s="54">
        <f>SUMIF($C105:$C122,$C112,H105:H122)</f>
        <v>0</v>
      </c>
      <c r="I125" s="5"/>
    </row>
    <row r="126" spans="2:17" ht="16.5" customHeight="1" x14ac:dyDescent="0.25">
      <c r="B126" s="230"/>
      <c r="C126" s="33" t="s">
        <v>46</v>
      </c>
      <c r="D126" s="33"/>
      <c r="E126" s="54">
        <f>SUMIF($C104:$C121,$C115,E104:E121)</f>
        <v>91.2</v>
      </c>
      <c r="F126" s="54">
        <f>SUMIF($C104:$C121,#REF!,F104:F121)</f>
        <v>0</v>
      </c>
      <c r="G126" s="54">
        <f>SUMIF($C104:$C121,#REF!,G104:G121)</f>
        <v>0</v>
      </c>
      <c r="H126" s="54">
        <f>SUMIF($C104:$C121,#REF!,H104:H121)</f>
        <v>0</v>
      </c>
      <c r="I126" s="34"/>
    </row>
    <row r="127" spans="2:17" ht="17.25" customHeight="1" x14ac:dyDescent="0.25">
      <c r="B127" s="26"/>
      <c r="C127" s="191" t="s">
        <v>47</v>
      </c>
      <c r="D127" s="44"/>
      <c r="E127" s="53">
        <f t="shared" ref="E127:G127" si="11">+E129</f>
        <v>0</v>
      </c>
      <c r="F127" s="53">
        <f t="shared" si="11"/>
        <v>1301.7</v>
      </c>
      <c r="G127" s="53">
        <f t="shared" si="11"/>
        <v>1295.8</v>
      </c>
      <c r="H127" s="53">
        <f t="shared" ref="H127" si="12">+H129</f>
        <v>100</v>
      </c>
      <c r="I127" s="28"/>
    </row>
    <row r="128" spans="2:17" ht="17.25" customHeight="1" x14ac:dyDescent="0.25">
      <c r="B128" s="228"/>
      <c r="C128" s="22" t="s">
        <v>48</v>
      </c>
      <c r="D128" s="22"/>
      <c r="E128" s="52"/>
      <c r="F128" s="52"/>
      <c r="G128" s="52"/>
      <c r="H128" s="52"/>
      <c r="I128" s="24"/>
    </row>
    <row r="129" spans="2:12" ht="16.5" customHeight="1" x14ac:dyDescent="0.25">
      <c r="B129" s="230"/>
      <c r="C129" s="89" t="s">
        <v>49</v>
      </c>
      <c r="D129" s="89"/>
      <c r="E129" s="54">
        <f>SUMIF($C104:$C121,$C121,E104:E121)</f>
        <v>0</v>
      </c>
      <c r="F129" s="54">
        <f>SUMIF($C104:$C121,$C121,F104:F121)</f>
        <v>1301.7</v>
      </c>
      <c r="G129" s="54">
        <f>SUMIF($C104:$C121,$C121,G104:G121)</f>
        <v>1295.8</v>
      </c>
      <c r="H129" s="54">
        <f>SUMIF($C104:$C121,$C121,H104:H121)</f>
        <v>100</v>
      </c>
      <c r="I129" s="34"/>
    </row>
    <row r="130" spans="2:12" ht="23.1" customHeight="1" x14ac:dyDescent="0.25">
      <c r="B130" s="19" t="s">
        <v>106</v>
      </c>
      <c r="C130" s="31" t="s">
        <v>107</v>
      </c>
      <c r="D130" s="31"/>
      <c r="E130" s="56"/>
      <c r="F130" s="56"/>
      <c r="G130" s="56"/>
      <c r="H130" s="56"/>
      <c r="I130" s="21"/>
    </row>
    <row r="131" spans="2:12" ht="42" customHeight="1" x14ac:dyDescent="0.25">
      <c r="B131" s="232" t="s">
        <v>108</v>
      </c>
      <c r="C131" s="12" t="s">
        <v>109</v>
      </c>
      <c r="D131" s="216" t="s">
        <v>110</v>
      </c>
      <c r="E131" s="50"/>
      <c r="F131" s="50"/>
      <c r="G131" s="50"/>
      <c r="H131" s="50"/>
      <c r="I131" s="4" t="s">
        <v>111</v>
      </c>
    </row>
    <row r="132" spans="2:12" ht="30" customHeight="1" x14ac:dyDescent="0.25">
      <c r="B132" s="233"/>
      <c r="C132" s="3" t="s">
        <v>18</v>
      </c>
      <c r="D132" s="217"/>
      <c r="E132" s="70"/>
      <c r="F132" s="70"/>
      <c r="G132" s="49"/>
      <c r="H132" s="49">
        <v>200</v>
      </c>
      <c r="I132" s="5"/>
    </row>
    <row r="133" spans="2:12" ht="17.25" customHeight="1" x14ac:dyDescent="0.25">
      <c r="B133" s="233"/>
      <c r="C133" s="29" t="s">
        <v>112</v>
      </c>
      <c r="D133" s="217"/>
      <c r="E133" s="136">
        <v>500</v>
      </c>
      <c r="F133" s="49"/>
      <c r="G133" s="49"/>
      <c r="H133" s="49"/>
      <c r="I133" s="5"/>
      <c r="J133" s="131"/>
    </row>
    <row r="134" spans="2:12" ht="17.25" customHeight="1" x14ac:dyDescent="0.25">
      <c r="B134" s="233"/>
      <c r="C134" s="3" t="s">
        <v>19</v>
      </c>
      <c r="D134" s="217"/>
      <c r="E134" s="136">
        <f>550-43.7-14.1+19.1</f>
        <v>511.3</v>
      </c>
      <c r="F134" s="49"/>
      <c r="G134" s="49"/>
      <c r="H134" s="49"/>
      <c r="I134" s="5"/>
    </row>
    <row r="135" spans="2:12" ht="35.25" customHeight="1" x14ac:dyDescent="0.25">
      <c r="B135" s="225" t="s">
        <v>113</v>
      </c>
      <c r="C135" s="92" t="s">
        <v>114</v>
      </c>
      <c r="D135" s="248" t="s">
        <v>115</v>
      </c>
      <c r="E135" s="143"/>
      <c r="F135" s="49"/>
      <c r="G135" s="49"/>
      <c r="H135" s="49"/>
      <c r="I135" s="4" t="s">
        <v>111</v>
      </c>
    </row>
    <row r="136" spans="2:12" ht="27" customHeight="1" x14ac:dyDescent="0.25">
      <c r="B136" s="226"/>
      <c r="C136" s="3" t="s">
        <v>18</v>
      </c>
      <c r="D136" s="249"/>
      <c r="E136" s="136">
        <f>114-90-20.8</f>
        <v>3.1999999999999993</v>
      </c>
      <c r="F136" s="70">
        <v>192.5</v>
      </c>
      <c r="G136" s="70">
        <f>220.6-143</f>
        <v>77.599999999999994</v>
      </c>
      <c r="H136" s="70">
        <v>39.5</v>
      </c>
      <c r="I136" s="4"/>
      <c r="L136" s="90"/>
    </row>
    <row r="137" spans="2:12" ht="27" customHeight="1" x14ac:dyDescent="0.25">
      <c r="B137" s="226"/>
      <c r="C137" s="206" t="s">
        <v>196</v>
      </c>
      <c r="D137" s="249"/>
      <c r="E137" s="136"/>
      <c r="F137" s="70"/>
      <c r="G137" s="70">
        <v>143</v>
      </c>
      <c r="H137" s="70"/>
      <c r="I137" s="4"/>
      <c r="L137" s="90"/>
    </row>
    <row r="138" spans="2:12" ht="18.75" customHeight="1" x14ac:dyDescent="0.25">
      <c r="B138" s="226"/>
      <c r="C138" s="3" t="s">
        <v>40</v>
      </c>
      <c r="D138" s="249"/>
      <c r="E138" s="136"/>
      <c r="F138" s="70">
        <v>576.29999999999995</v>
      </c>
      <c r="G138" s="70">
        <v>1152.5999999999999</v>
      </c>
      <c r="H138" s="70">
        <v>192.1</v>
      </c>
      <c r="I138" s="5"/>
      <c r="L138" s="90"/>
    </row>
    <row r="139" spans="2:12" ht="45" customHeight="1" x14ac:dyDescent="0.25">
      <c r="B139" s="225" t="s">
        <v>116</v>
      </c>
      <c r="C139" s="92" t="s">
        <v>117</v>
      </c>
      <c r="D139" s="249"/>
      <c r="E139" s="143"/>
      <c r="F139" s="70"/>
      <c r="G139" s="70"/>
      <c r="H139" s="70"/>
      <c r="I139" s="4" t="s">
        <v>111</v>
      </c>
      <c r="L139" s="90"/>
    </row>
    <row r="140" spans="2:12" ht="27.75" customHeight="1" x14ac:dyDescent="0.25">
      <c r="B140" s="226"/>
      <c r="C140" s="3" t="s">
        <v>18</v>
      </c>
      <c r="D140" s="249"/>
      <c r="E140" s="136">
        <f>52.2+90</f>
        <v>142.19999999999999</v>
      </c>
      <c r="F140" s="70">
        <v>135.1</v>
      </c>
      <c r="G140" s="70"/>
      <c r="H140" s="70"/>
      <c r="I140" s="5"/>
      <c r="L140" s="90"/>
    </row>
    <row r="141" spans="2:12" ht="18" customHeight="1" x14ac:dyDescent="0.25">
      <c r="B141" s="226"/>
      <c r="C141" s="3" t="s">
        <v>19</v>
      </c>
      <c r="D141" s="249"/>
      <c r="E141" s="136">
        <f>16+43.7</f>
        <v>59.7</v>
      </c>
      <c r="F141" s="70"/>
      <c r="G141" s="70"/>
      <c r="H141" s="70"/>
      <c r="I141" s="5"/>
      <c r="L141" s="90"/>
    </row>
    <row r="142" spans="2:12" ht="17.25" customHeight="1" x14ac:dyDescent="0.25">
      <c r="B142" s="226"/>
      <c r="C142" s="3" t="s">
        <v>40</v>
      </c>
      <c r="D142" s="249"/>
      <c r="E142" s="136"/>
      <c r="F142" s="70">
        <v>314.8</v>
      </c>
      <c r="G142" s="70"/>
      <c r="H142" s="70"/>
      <c r="I142" s="5"/>
      <c r="L142" s="90"/>
    </row>
    <row r="143" spans="2:12" ht="58.2" customHeight="1" x14ac:dyDescent="0.25">
      <c r="B143" s="232"/>
      <c r="C143" s="12" t="s">
        <v>118</v>
      </c>
      <c r="D143" s="216" t="s">
        <v>110</v>
      </c>
      <c r="E143" s="136"/>
      <c r="F143" s="70"/>
      <c r="G143" s="70"/>
      <c r="H143" s="70"/>
      <c r="I143" s="25" t="s">
        <v>111</v>
      </c>
    </row>
    <row r="144" spans="2:12" ht="31.5" customHeight="1" x14ac:dyDescent="0.25">
      <c r="B144" s="233"/>
      <c r="C144" s="29" t="s">
        <v>18</v>
      </c>
      <c r="D144" s="217"/>
      <c r="E144" s="136">
        <v>40.5</v>
      </c>
      <c r="F144" s="70"/>
      <c r="G144" s="70"/>
      <c r="H144" s="70"/>
      <c r="I144" s="24"/>
    </row>
    <row r="145" spans="1:16" ht="16.5" customHeight="1" x14ac:dyDescent="0.25">
      <c r="B145" s="234"/>
      <c r="C145" s="114" t="s">
        <v>119</v>
      </c>
      <c r="D145" s="217"/>
      <c r="E145" s="70"/>
      <c r="F145" s="70"/>
      <c r="G145" s="70"/>
      <c r="H145" s="70"/>
      <c r="I145" s="24"/>
    </row>
    <row r="146" spans="1:16" ht="31.5" customHeight="1" x14ac:dyDescent="0.25">
      <c r="B146" s="220"/>
      <c r="C146" s="12" t="s">
        <v>120</v>
      </c>
      <c r="D146" s="217"/>
      <c r="E146" s="49"/>
      <c r="F146" s="70"/>
      <c r="G146" s="49"/>
      <c r="H146" s="49"/>
      <c r="I146" s="4" t="s">
        <v>111</v>
      </c>
    </row>
    <row r="147" spans="1:16" ht="16.5" customHeight="1" x14ac:dyDescent="0.25">
      <c r="B147" s="231"/>
      <c r="C147" s="3" t="s">
        <v>19</v>
      </c>
      <c r="D147" s="217"/>
      <c r="E147" s="70">
        <f>0.9+200-53.1</f>
        <v>147.80000000000001</v>
      </c>
      <c r="F147" s="49"/>
      <c r="G147" s="49"/>
      <c r="H147" s="49"/>
      <c r="I147" s="5"/>
    </row>
    <row r="148" spans="1:16" ht="28.5" customHeight="1" x14ac:dyDescent="0.25">
      <c r="B148" s="232" t="s">
        <v>121</v>
      </c>
      <c r="C148" s="201" t="s">
        <v>122</v>
      </c>
      <c r="D148" s="217"/>
      <c r="E148" s="70"/>
      <c r="F148" s="70"/>
      <c r="G148" s="70"/>
      <c r="H148" s="70"/>
      <c r="I148" s="25" t="s">
        <v>111</v>
      </c>
    </row>
    <row r="149" spans="1:16" ht="28.5" customHeight="1" x14ac:dyDescent="0.25">
      <c r="B149" s="233"/>
      <c r="C149" s="29" t="s">
        <v>18</v>
      </c>
      <c r="D149" s="217"/>
      <c r="E149" s="70"/>
      <c r="F149" s="70"/>
      <c r="G149" s="70"/>
      <c r="H149" s="70"/>
      <c r="I149" s="24"/>
    </row>
    <row r="150" spans="1:16" ht="18" customHeight="1" x14ac:dyDescent="0.25">
      <c r="B150" s="233"/>
      <c r="C150" s="87" t="s">
        <v>19</v>
      </c>
      <c r="D150" s="217"/>
      <c r="E150" s="70">
        <f>42.9-8.4</f>
        <v>34.5</v>
      </c>
      <c r="F150" s="167">
        <v>6.6</v>
      </c>
      <c r="G150" s="70"/>
      <c r="H150" s="70"/>
      <c r="I150" s="24"/>
    </row>
    <row r="151" spans="1:16" ht="18" customHeight="1" x14ac:dyDescent="0.25">
      <c r="B151" s="234"/>
      <c r="C151" s="29" t="s">
        <v>119</v>
      </c>
      <c r="D151" s="247"/>
      <c r="E151" s="70"/>
      <c r="F151" s="70"/>
      <c r="G151" s="70"/>
      <c r="H151" s="70"/>
      <c r="I151" s="24"/>
    </row>
    <row r="152" spans="1:16" ht="28.5" customHeight="1" x14ac:dyDescent="0.25">
      <c r="B152" s="225" t="s">
        <v>123</v>
      </c>
      <c r="C152" s="7" t="s">
        <v>124</v>
      </c>
      <c r="D152" s="245" t="s">
        <v>125</v>
      </c>
      <c r="E152" s="70"/>
      <c r="F152" s="49"/>
      <c r="G152" s="49"/>
      <c r="H152" s="49"/>
      <c r="I152" s="4" t="s">
        <v>111</v>
      </c>
      <c r="L152" s="90"/>
    </row>
    <row r="153" spans="1:16" ht="28.5" customHeight="1" x14ac:dyDescent="0.25">
      <c r="B153" s="226"/>
      <c r="C153" s="3" t="s">
        <v>18</v>
      </c>
      <c r="D153" s="245"/>
      <c r="E153" s="70">
        <v>63.5</v>
      </c>
      <c r="F153" s="167">
        <f>85-34</f>
        <v>51</v>
      </c>
      <c r="G153" s="167"/>
      <c r="H153" s="167">
        <v>18.5</v>
      </c>
      <c r="I153" s="5"/>
      <c r="K153" s="177"/>
      <c r="L153" s="90"/>
      <c r="M153" s="90"/>
    </row>
    <row r="154" spans="1:16" ht="20.399999999999999" customHeight="1" x14ac:dyDescent="0.25">
      <c r="B154" s="226"/>
      <c r="C154" s="206" t="s">
        <v>196</v>
      </c>
      <c r="D154" s="245"/>
      <c r="E154" s="70"/>
      <c r="F154" s="167"/>
      <c r="G154" s="167">
        <v>123.2</v>
      </c>
      <c r="H154" s="167"/>
      <c r="I154" s="5"/>
      <c r="K154" s="177"/>
      <c r="L154" s="90"/>
      <c r="M154" s="90"/>
    </row>
    <row r="155" spans="1:16" ht="15" customHeight="1" x14ac:dyDescent="0.25">
      <c r="B155" s="226"/>
      <c r="C155" s="3" t="s">
        <v>19</v>
      </c>
      <c r="D155" s="245"/>
      <c r="E155" s="70">
        <f>14.6+34</f>
        <v>48.6</v>
      </c>
      <c r="F155" s="167"/>
      <c r="G155" s="167"/>
      <c r="H155" s="167"/>
      <c r="I155" s="5"/>
      <c r="J155" s="177"/>
      <c r="K155" s="177"/>
      <c r="L155" s="90"/>
      <c r="M155" s="90"/>
    </row>
    <row r="156" spans="1:16" ht="17.25" customHeight="1" x14ac:dyDescent="0.25">
      <c r="B156" s="227"/>
      <c r="C156" s="88" t="s">
        <v>40</v>
      </c>
      <c r="D156" s="246"/>
      <c r="E156" s="70"/>
      <c r="F156" s="167">
        <v>254.3</v>
      </c>
      <c r="G156" s="167">
        <v>1186.5999999999999</v>
      </c>
      <c r="H156" s="167">
        <v>254.3</v>
      </c>
      <c r="I156" s="5"/>
      <c r="J156" s="177"/>
      <c r="K156" s="177"/>
      <c r="M156" s="90"/>
    </row>
    <row r="157" spans="1:16" ht="25.5" customHeight="1" x14ac:dyDescent="0.25">
      <c r="A157" s="169"/>
      <c r="B157" s="220" t="s">
        <v>126</v>
      </c>
      <c r="C157" s="175" t="s">
        <v>127</v>
      </c>
      <c r="D157" s="248" t="s">
        <v>110</v>
      </c>
      <c r="E157" s="170" t="s">
        <v>24</v>
      </c>
      <c r="F157" s="170" t="s">
        <v>24</v>
      </c>
      <c r="G157" s="170" t="s">
        <v>24</v>
      </c>
      <c r="H157" s="170" t="s">
        <v>24</v>
      </c>
      <c r="I157" s="176" t="s">
        <v>111</v>
      </c>
      <c r="J157" s="132"/>
      <c r="K157" s="169"/>
      <c r="L157" s="169"/>
      <c r="M157" s="169"/>
      <c r="N157" s="169"/>
      <c r="O157" s="169"/>
      <c r="P157" s="169"/>
    </row>
    <row r="158" spans="1:16" ht="30" customHeight="1" x14ac:dyDescent="0.25">
      <c r="A158" s="169"/>
      <c r="B158" s="221"/>
      <c r="C158" s="174" t="s">
        <v>18</v>
      </c>
      <c r="D158" s="250"/>
      <c r="E158" s="171"/>
      <c r="F158" s="171" t="s">
        <v>24</v>
      </c>
      <c r="G158" s="173">
        <v>20</v>
      </c>
      <c r="H158" s="173">
        <v>40</v>
      </c>
      <c r="I158" s="172" t="s">
        <v>24</v>
      </c>
      <c r="J158" s="183"/>
      <c r="K158" s="169"/>
      <c r="L158" s="169"/>
      <c r="M158" s="169"/>
      <c r="N158" s="169"/>
      <c r="O158" s="169"/>
      <c r="P158" s="169"/>
    </row>
    <row r="159" spans="1:16" ht="17.25" customHeight="1" x14ac:dyDescent="0.25">
      <c r="B159" s="26"/>
      <c r="C159" s="27" t="s">
        <v>43</v>
      </c>
      <c r="D159" s="27"/>
      <c r="E159" s="53">
        <f>+E161+E162+E163+E164</f>
        <v>1551.3</v>
      </c>
      <c r="F159" s="53">
        <f t="shared" ref="F159:H159" si="13">+F161+F162+F163+F164</f>
        <v>385.20000000000005</v>
      </c>
      <c r="G159" s="53">
        <f t="shared" si="13"/>
        <v>363.79999999999995</v>
      </c>
      <c r="H159" s="53">
        <f t="shared" si="13"/>
        <v>298</v>
      </c>
      <c r="I159" s="14"/>
      <c r="K159" s="90"/>
      <c r="L159" s="90"/>
      <c r="M159" s="90"/>
      <c r="N159" s="90"/>
      <c r="O159" s="90"/>
    </row>
    <row r="160" spans="1:16" ht="17.25" customHeight="1" x14ac:dyDescent="0.25">
      <c r="B160" s="218"/>
      <c r="C160" s="37" t="s">
        <v>44</v>
      </c>
      <c r="D160" s="37"/>
      <c r="E160" s="51"/>
      <c r="F160" s="51"/>
      <c r="G160" s="51"/>
      <c r="H160" s="51"/>
      <c r="I160" s="23"/>
    </row>
    <row r="161" spans="2:11" ht="27.75" customHeight="1" x14ac:dyDescent="0.25">
      <c r="B161" s="219"/>
      <c r="C161" s="33" t="s">
        <v>45</v>
      </c>
      <c r="D161" s="33"/>
      <c r="E161" s="54">
        <f>SUMIF($C131:$C158,$C132,E131:E158)</f>
        <v>249.39999999999998</v>
      </c>
      <c r="F161" s="54">
        <f>SUMIF($C131:$C158,$C132,F131:F158)</f>
        <v>378.6</v>
      </c>
      <c r="G161" s="54">
        <f>SUMIF($C131:$C158,$C132,G131:G158)</f>
        <v>97.6</v>
      </c>
      <c r="H161" s="54">
        <f>SUMIF($C131:$C158,$C132,H131:H158)</f>
        <v>298</v>
      </c>
      <c r="I161" s="34"/>
    </row>
    <row r="162" spans="2:11" ht="16.5" customHeight="1" x14ac:dyDescent="0.25">
      <c r="B162" s="219"/>
      <c r="C162" s="22" t="s">
        <v>128</v>
      </c>
      <c r="D162" s="22"/>
      <c r="E162" s="54">
        <f>SUMIF($C131:$C158,$C133,E131:E158)</f>
        <v>500</v>
      </c>
      <c r="F162" s="54">
        <f>SUMIF($C131:$C158,$C133,F131:F158)</f>
        <v>0</v>
      </c>
      <c r="G162" s="54">
        <f>SUMIF($C131:$C158,$C133,G131:G158)</f>
        <v>0</v>
      </c>
      <c r="H162" s="54">
        <f>SUMIF($C131:$C158,$C133,H131:H158)</f>
        <v>0</v>
      </c>
      <c r="I162" s="34"/>
      <c r="K162" s="131"/>
    </row>
    <row r="163" spans="2:11" ht="16.5" customHeight="1" x14ac:dyDescent="0.25">
      <c r="B163" s="219"/>
      <c r="C163" s="205" t="s">
        <v>197</v>
      </c>
      <c r="D163" s="22"/>
      <c r="E163" s="54">
        <f>SUMIF($C132:$C159,$C154,E132:E159)</f>
        <v>0</v>
      </c>
      <c r="F163" s="54">
        <f t="shared" ref="F163:H163" si="14">SUMIF($C132:$C159,$C154,F132:F159)</f>
        <v>0</v>
      </c>
      <c r="G163" s="51">
        <f t="shared" si="14"/>
        <v>266.2</v>
      </c>
      <c r="H163" s="54">
        <f t="shared" si="14"/>
        <v>0</v>
      </c>
      <c r="I163" s="34"/>
      <c r="K163" s="131"/>
    </row>
    <row r="164" spans="2:11" ht="16.5" customHeight="1" x14ac:dyDescent="0.25">
      <c r="B164" s="222"/>
      <c r="C164" s="33" t="s">
        <v>46</v>
      </c>
      <c r="D164" s="33"/>
      <c r="E164" s="54">
        <f>SUMIF($C131:$C158,$C141,E131:E158)</f>
        <v>801.9</v>
      </c>
      <c r="F164" s="54">
        <f>SUMIF($C131:$C158,$C141,F131:F158)</f>
        <v>6.6</v>
      </c>
      <c r="G164" s="54">
        <f>SUMIF($C131:$C158,$C141,G131:G158)</f>
        <v>0</v>
      </c>
      <c r="H164" s="54">
        <f>SUMIF($C131:$C158,$C141,H131:H158)</f>
        <v>0</v>
      </c>
      <c r="I164" s="34"/>
    </row>
    <row r="165" spans="2:11" ht="17.25" customHeight="1" x14ac:dyDescent="0.25">
      <c r="B165" s="26"/>
      <c r="C165" s="44" t="s">
        <v>47</v>
      </c>
      <c r="D165" s="44"/>
      <c r="E165" s="53">
        <f t="shared" ref="E165:G165" si="15">+E167+E168</f>
        <v>0</v>
      </c>
      <c r="F165" s="53">
        <f t="shared" si="15"/>
        <v>1145.3999999999999</v>
      </c>
      <c r="G165" s="53">
        <f t="shared" si="15"/>
        <v>2339.1999999999998</v>
      </c>
      <c r="H165" s="53">
        <f t="shared" ref="H165" si="16">+H167+H168</f>
        <v>446.4</v>
      </c>
      <c r="I165" s="28"/>
    </row>
    <row r="166" spans="2:11" ht="17.25" customHeight="1" x14ac:dyDescent="0.25">
      <c r="B166" s="218"/>
      <c r="C166" s="22" t="s">
        <v>48</v>
      </c>
      <c r="D166" s="22"/>
      <c r="E166" s="52"/>
      <c r="F166" s="52"/>
      <c r="G166" s="52"/>
      <c r="H166" s="52"/>
      <c r="I166" s="24"/>
    </row>
    <row r="167" spans="2:11" ht="17.25" customHeight="1" x14ac:dyDescent="0.25">
      <c r="B167" s="219"/>
      <c r="C167" s="22" t="s">
        <v>129</v>
      </c>
      <c r="D167" s="22"/>
      <c r="E167" s="54">
        <f>SUMIF($C131:$C158,$C151,E131:E158)</f>
        <v>0</v>
      </c>
      <c r="F167" s="54">
        <f>SUMIF($C131:$C158,$C151,F131:F158)</f>
        <v>0</v>
      </c>
      <c r="G167" s="54">
        <f>SUMIF($C131:$C158,$C151,G131:G158)</f>
        <v>0</v>
      </c>
      <c r="H167" s="54">
        <f>SUMIF($C131:$C158,$C151,H131:H158)</f>
        <v>0</v>
      </c>
      <c r="I167" s="24"/>
    </row>
    <row r="168" spans="2:11" ht="17.25" customHeight="1" x14ac:dyDescent="0.25">
      <c r="B168" s="222"/>
      <c r="C168" s="7" t="s">
        <v>49</v>
      </c>
      <c r="D168" s="7"/>
      <c r="E168" s="54">
        <f>SUMIF($C131:$C158,$C138,E131:E158)</f>
        <v>0</v>
      </c>
      <c r="F168" s="54">
        <f>SUMIF($C131:$C158,$C138,F131:F158)</f>
        <v>1145.3999999999999</v>
      </c>
      <c r="G168" s="54">
        <f>SUMIF($C131:$C158,$C138,G131:G158)</f>
        <v>2339.1999999999998</v>
      </c>
      <c r="H168" s="54">
        <f>SUMIF($C131:$C158,$C138,H131:H158)</f>
        <v>446.4</v>
      </c>
      <c r="I168" s="24"/>
    </row>
    <row r="169" spans="2:11" ht="21" customHeight="1" x14ac:dyDescent="0.25">
      <c r="B169" s="19" t="s">
        <v>130</v>
      </c>
      <c r="C169" s="31" t="s">
        <v>131</v>
      </c>
      <c r="D169" s="31"/>
      <c r="E169" s="56"/>
      <c r="F169" s="56"/>
      <c r="G169" s="56"/>
      <c r="H169" s="56"/>
      <c r="I169" s="21"/>
    </row>
    <row r="170" spans="2:11" ht="31.2" customHeight="1" x14ac:dyDescent="0.25">
      <c r="B170" s="220" t="s">
        <v>132</v>
      </c>
      <c r="C170" s="32" t="s">
        <v>133</v>
      </c>
      <c r="D170" s="216" t="s">
        <v>17</v>
      </c>
      <c r="E170" s="50"/>
      <c r="F170" s="50"/>
      <c r="G170" s="50"/>
      <c r="H170" s="50"/>
      <c r="I170" s="4"/>
    </row>
    <row r="171" spans="2:11" ht="29.25" customHeight="1" x14ac:dyDescent="0.25">
      <c r="B171" s="221"/>
      <c r="C171" s="3" t="s">
        <v>18</v>
      </c>
      <c r="D171" s="217"/>
      <c r="E171" s="63">
        <v>25</v>
      </c>
      <c r="F171" s="64">
        <v>50</v>
      </c>
      <c r="G171" s="64">
        <v>55</v>
      </c>
      <c r="H171" s="64">
        <v>60.5</v>
      </c>
      <c r="I171" s="5"/>
    </row>
    <row r="172" spans="2:11" ht="42.75" customHeight="1" x14ac:dyDescent="0.25">
      <c r="B172" s="220" t="s">
        <v>134</v>
      </c>
      <c r="C172" s="11" t="s">
        <v>135</v>
      </c>
      <c r="D172" s="217"/>
      <c r="E172" s="61" t="s">
        <v>24</v>
      </c>
      <c r="F172" s="62"/>
      <c r="G172" s="62"/>
      <c r="H172" s="62"/>
      <c r="I172" s="4"/>
    </row>
    <row r="173" spans="2:11" ht="30" customHeight="1" x14ac:dyDescent="0.25">
      <c r="B173" s="231"/>
      <c r="C173" s="3" t="s">
        <v>18</v>
      </c>
      <c r="D173" s="217"/>
      <c r="E173" s="68">
        <v>30.2</v>
      </c>
      <c r="F173" s="69">
        <v>35.9</v>
      </c>
      <c r="G173" s="69">
        <v>35.9</v>
      </c>
      <c r="H173" s="69">
        <v>35.9</v>
      </c>
      <c r="I173" s="5"/>
    </row>
    <row r="174" spans="2:11" ht="17.25" customHeight="1" x14ac:dyDescent="0.25">
      <c r="B174" s="221"/>
      <c r="C174" s="29" t="s">
        <v>112</v>
      </c>
      <c r="D174" s="243"/>
      <c r="E174" s="49">
        <v>21</v>
      </c>
      <c r="F174" s="50"/>
      <c r="G174" s="50"/>
      <c r="H174" s="50"/>
      <c r="I174" s="5"/>
    </row>
    <row r="175" spans="2:11" ht="17.25" customHeight="1" x14ac:dyDescent="0.25">
      <c r="B175" s="26"/>
      <c r="C175" s="27" t="s">
        <v>43</v>
      </c>
      <c r="D175" s="27"/>
      <c r="E175" s="53">
        <f>+E177+E178</f>
        <v>76.2</v>
      </c>
      <c r="F175" s="53">
        <f t="shared" ref="F175:H175" si="17">+F177+F178</f>
        <v>85.9</v>
      </c>
      <c r="G175" s="53">
        <f t="shared" si="17"/>
        <v>90.9</v>
      </c>
      <c r="H175" s="53">
        <f t="shared" si="17"/>
        <v>96.4</v>
      </c>
      <c r="I175" s="14"/>
    </row>
    <row r="176" spans="2:11" ht="17.25" customHeight="1" x14ac:dyDescent="0.25">
      <c r="B176" s="237"/>
      <c r="C176" s="37" t="s">
        <v>44</v>
      </c>
      <c r="D176" s="37"/>
      <c r="E176" s="51"/>
      <c r="F176" s="51"/>
      <c r="G176" s="51"/>
      <c r="H176" s="51"/>
      <c r="I176" s="23"/>
    </row>
    <row r="177" spans="2:10" ht="27.75" customHeight="1" x14ac:dyDescent="0.25">
      <c r="B177" s="238"/>
      <c r="C177" s="33" t="s">
        <v>45</v>
      </c>
      <c r="D177" s="33"/>
      <c r="E177" s="54">
        <f>SUMIF($C170:$C174,$C171,E170:E174)</f>
        <v>55.2</v>
      </c>
      <c r="F177" s="54">
        <f t="shared" ref="F177:G177" si="18">SUMIF($C170:$C174,$C171,F170:F174)</f>
        <v>85.9</v>
      </c>
      <c r="G177" s="54">
        <f t="shared" si="18"/>
        <v>90.9</v>
      </c>
      <c r="H177" s="54">
        <f t="shared" ref="H177:H178" si="19">SUMIF($C170:$C174,$C171,H170:H174)</f>
        <v>96.4</v>
      </c>
      <c r="I177" s="34"/>
    </row>
    <row r="178" spans="2:10" ht="16.5" customHeight="1" x14ac:dyDescent="0.25">
      <c r="B178" s="239"/>
      <c r="C178" s="22" t="s">
        <v>128</v>
      </c>
      <c r="D178" s="22"/>
      <c r="E178" s="54">
        <f t="shared" ref="E178:G178" si="20">SUMIF($C170:$C174,$C174,E170:E174)</f>
        <v>21</v>
      </c>
      <c r="F178" s="54">
        <f t="shared" si="20"/>
        <v>0</v>
      </c>
      <c r="G178" s="54">
        <f t="shared" si="20"/>
        <v>0</v>
      </c>
      <c r="H178" s="54">
        <f t="shared" si="19"/>
        <v>0</v>
      </c>
      <c r="I178" s="34"/>
    </row>
    <row r="179" spans="2:10" ht="40.5" customHeight="1" x14ac:dyDescent="0.25">
      <c r="B179" s="17" t="s">
        <v>136</v>
      </c>
      <c r="C179" s="110" t="s">
        <v>137</v>
      </c>
      <c r="D179" s="110"/>
      <c r="E179" s="59"/>
      <c r="F179" s="59"/>
      <c r="G179" s="59"/>
      <c r="H179" s="59"/>
      <c r="I179" s="18"/>
    </row>
    <row r="180" spans="2:10" ht="29.25" customHeight="1" x14ac:dyDescent="0.25">
      <c r="B180" s="19" t="s">
        <v>138</v>
      </c>
      <c r="C180" s="31" t="s">
        <v>139</v>
      </c>
      <c r="D180" s="31"/>
      <c r="E180" s="56"/>
      <c r="F180" s="56"/>
      <c r="G180" s="56"/>
      <c r="H180" s="56"/>
      <c r="I180" s="21"/>
    </row>
    <row r="181" spans="2:10" ht="44.4" customHeight="1" x14ac:dyDescent="0.25">
      <c r="B181" s="220"/>
      <c r="C181" s="32" t="s">
        <v>140</v>
      </c>
      <c r="D181" s="241" t="s">
        <v>31</v>
      </c>
      <c r="E181" s="50"/>
      <c r="F181" s="50"/>
      <c r="G181" s="50"/>
      <c r="H181" s="50"/>
      <c r="I181" s="4" t="s">
        <v>141</v>
      </c>
    </row>
    <row r="182" spans="2:10" ht="20.100000000000001" customHeight="1" x14ac:dyDescent="0.25">
      <c r="B182" s="221"/>
      <c r="C182" s="3" t="s">
        <v>19</v>
      </c>
      <c r="D182" s="242"/>
      <c r="E182" s="70">
        <f>728.3-81.5</f>
        <v>646.79999999999995</v>
      </c>
      <c r="F182" s="50"/>
      <c r="G182" s="50"/>
      <c r="H182" s="50"/>
      <c r="I182" s="5"/>
    </row>
    <row r="183" spans="2:10" ht="19.5" customHeight="1" x14ac:dyDescent="0.25">
      <c r="B183" s="220"/>
      <c r="C183" s="11" t="s">
        <v>142</v>
      </c>
      <c r="D183" s="216" t="s">
        <v>110</v>
      </c>
      <c r="E183" s="50"/>
      <c r="F183" s="50"/>
      <c r="G183" s="50"/>
      <c r="H183" s="50"/>
      <c r="I183" s="4" t="s">
        <v>143</v>
      </c>
    </row>
    <row r="184" spans="2:10" ht="16.5" customHeight="1" x14ac:dyDescent="0.25">
      <c r="B184" s="221"/>
      <c r="C184" s="88" t="s">
        <v>19</v>
      </c>
      <c r="D184" s="243"/>
      <c r="E184" s="49">
        <f>2.9-0.4</f>
        <v>2.5</v>
      </c>
      <c r="F184" s="49"/>
      <c r="G184" s="49"/>
      <c r="H184" s="49"/>
      <c r="I184" s="5"/>
    </row>
    <row r="185" spans="2:10" ht="45.6" customHeight="1" x14ac:dyDescent="0.25">
      <c r="B185" s="225" t="s">
        <v>144</v>
      </c>
      <c r="C185" s="11" t="s">
        <v>145</v>
      </c>
      <c r="D185" s="216" t="s">
        <v>31</v>
      </c>
      <c r="E185" s="49"/>
      <c r="F185" s="49"/>
      <c r="G185" s="49"/>
      <c r="H185" s="49"/>
      <c r="I185" s="4" t="s">
        <v>57</v>
      </c>
    </row>
    <row r="186" spans="2:10" ht="27" customHeight="1" x14ac:dyDescent="0.25">
      <c r="B186" s="226"/>
      <c r="C186" s="3" t="s">
        <v>18</v>
      </c>
      <c r="D186" s="217"/>
      <c r="E186" s="70"/>
      <c r="F186" s="70">
        <v>104</v>
      </c>
      <c r="G186" s="70"/>
      <c r="H186" s="70"/>
      <c r="I186" s="5"/>
    </row>
    <row r="187" spans="2:10" ht="18" customHeight="1" x14ac:dyDescent="0.25">
      <c r="B187" s="227"/>
      <c r="C187" s="88" t="s">
        <v>40</v>
      </c>
      <c r="D187" s="243"/>
      <c r="E187" s="70"/>
      <c r="F187" s="70">
        <v>312.5</v>
      </c>
      <c r="G187" s="70"/>
      <c r="H187" s="70"/>
      <c r="I187" s="5"/>
    </row>
    <row r="188" spans="2:10" ht="17.25" customHeight="1" x14ac:dyDescent="0.25">
      <c r="B188" s="26"/>
      <c r="C188" s="27" t="s">
        <v>43</v>
      </c>
      <c r="D188" s="27"/>
      <c r="E188" s="53">
        <f t="shared" ref="E188:G188" si="21">+E190+E191</f>
        <v>649.29999999999995</v>
      </c>
      <c r="F188" s="53">
        <f t="shared" si="21"/>
        <v>104</v>
      </c>
      <c r="G188" s="53">
        <f t="shared" si="21"/>
        <v>0</v>
      </c>
      <c r="H188" s="53">
        <f t="shared" ref="H188" si="22">+H190+H191</f>
        <v>0</v>
      </c>
      <c r="I188" s="14"/>
    </row>
    <row r="189" spans="2:10" ht="17.25" customHeight="1" x14ac:dyDescent="0.25">
      <c r="B189" s="237"/>
      <c r="C189" s="37" t="s">
        <v>44</v>
      </c>
      <c r="D189" s="37"/>
      <c r="E189" s="51"/>
      <c r="F189" s="51"/>
      <c r="G189" s="51"/>
      <c r="H189" s="51"/>
      <c r="I189" s="23"/>
    </row>
    <row r="190" spans="2:10" ht="27.75" customHeight="1" x14ac:dyDescent="0.25">
      <c r="B190" s="238"/>
      <c r="C190" s="33" t="s">
        <v>45</v>
      </c>
      <c r="D190" s="33"/>
      <c r="E190" s="54">
        <f>SUMIF($C181:$C187,$C186,E181:E187)</f>
        <v>0</v>
      </c>
      <c r="F190" s="54">
        <f>SUMIF($C181:$C187,$C186,F181:F187)</f>
        <v>104</v>
      </c>
      <c r="G190" s="54">
        <f>SUMIF($C181:$C187,$C186,G181:G187)</f>
        <v>0</v>
      </c>
      <c r="H190" s="54">
        <f>SUMIF($C181:$C187,$C186,H181:H187)</f>
        <v>0</v>
      </c>
      <c r="I190" s="34"/>
    </row>
    <row r="191" spans="2:10" ht="18.75" customHeight="1" x14ac:dyDescent="0.25">
      <c r="B191" s="239"/>
      <c r="C191" s="89" t="s">
        <v>46</v>
      </c>
      <c r="D191" s="89"/>
      <c r="E191" s="54">
        <f>SUMIF($C181:$C187,$C184,E181:E187)</f>
        <v>649.29999999999995</v>
      </c>
      <c r="F191" s="54">
        <f>SUMIF($C181:$C187,$C184,F181:F187)</f>
        <v>0</v>
      </c>
      <c r="G191" s="54">
        <f>SUMIF($C181:$C187,$C184,G181:G187)</f>
        <v>0</v>
      </c>
      <c r="H191" s="54">
        <f>SUMIF($C181:$C187,$C184,H181:H187)</f>
        <v>0</v>
      </c>
      <c r="I191" s="34"/>
    </row>
    <row r="192" spans="2:10" ht="17.25" customHeight="1" x14ac:dyDescent="0.25">
      <c r="B192" s="95"/>
      <c r="C192" s="38" t="s">
        <v>47</v>
      </c>
      <c r="D192" s="38"/>
      <c r="E192" s="60">
        <f t="shared" ref="E192:G192" si="23">+E194</f>
        <v>0</v>
      </c>
      <c r="F192" s="60">
        <f t="shared" si="23"/>
        <v>312.5</v>
      </c>
      <c r="G192" s="60">
        <f t="shared" si="23"/>
        <v>0</v>
      </c>
      <c r="H192" s="60">
        <f t="shared" ref="H192" si="24">+H194</f>
        <v>0</v>
      </c>
      <c r="I192" s="93"/>
      <c r="J192" s="90"/>
    </row>
    <row r="193" spans="2:10" ht="17.25" customHeight="1" x14ac:dyDescent="0.25">
      <c r="B193" s="94"/>
      <c r="C193" s="33" t="s">
        <v>48</v>
      </c>
      <c r="D193" s="33"/>
      <c r="E193" s="54"/>
      <c r="F193" s="54"/>
      <c r="G193" s="54"/>
      <c r="H193" s="54"/>
      <c r="I193" s="34"/>
      <c r="J193" s="90"/>
    </row>
    <row r="194" spans="2:10" ht="21" customHeight="1" x14ac:dyDescent="0.25">
      <c r="B194" s="96"/>
      <c r="C194" s="89" t="s">
        <v>49</v>
      </c>
      <c r="D194" s="89"/>
      <c r="E194" s="54">
        <f>SUMIF($C181:$C187,$C187,E181:E187)</f>
        <v>0</v>
      </c>
      <c r="F194" s="54">
        <f>SUMIF($C181:$C187,$C187,F181:F187)</f>
        <v>312.5</v>
      </c>
      <c r="G194" s="54">
        <f>SUMIF($C181:$C187,$C187,G181:G187)</f>
        <v>0</v>
      </c>
      <c r="H194" s="54">
        <f>SUMIF($C181:$C187,$C187,H181:H187)</f>
        <v>0</v>
      </c>
      <c r="I194" s="34"/>
      <c r="J194" s="90"/>
    </row>
    <row r="195" spans="2:10" ht="30.6" customHeight="1" x14ac:dyDescent="0.25">
      <c r="B195" s="41"/>
      <c r="C195" s="38" t="s">
        <v>146</v>
      </c>
      <c r="D195" s="38"/>
      <c r="E195" s="60">
        <f>+E41+E46+E71+E99+E122+E159+E165+E175+E188+E127+E192+E75</f>
        <v>11224.999999999998</v>
      </c>
      <c r="F195" s="60">
        <f>+F41+F46+F71+F99+F122+F159+F165+F175+F188+F127+F192+F75</f>
        <v>12460.2</v>
      </c>
      <c r="G195" s="60">
        <f>+G41+G46+G71+G99+G122+G159+G165+G175+G188+G127+G192+G75</f>
        <v>13855.599999999997</v>
      </c>
      <c r="H195" s="60">
        <f>+H41+H46+H71+H99+H122+H159+H165+H175+H188+H127+H192+H75</f>
        <v>9714.9</v>
      </c>
      <c r="I195" s="28"/>
      <c r="J195" s="90"/>
    </row>
    <row r="196" spans="2:10" ht="15.75" customHeight="1" x14ac:dyDescent="0.25">
      <c r="B196" s="2"/>
      <c r="C196" s="37" t="s">
        <v>147</v>
      </c>
      <c r="D196" s="37"/>
      <c r="E196" s="52">
        <f>+E34+E37+E119+E121+E136+E138+E140+E141+E153+E155+E156+E186+E187+E142+E110+E111+E113</f>
        <v>322.90000000000003</v>
      </c>
      <c r="F196" s="52">
        <f>+F34+F37+F119+F121+F136+F138+F140+F141+F153+F155+F156+F186+F187+F142+F110+F111+F113</f>
        <v>3539.5000000000005</v>
      </c>
      <c r="G196" s="52">
        <f>+G34+G37+G119+G121+G136+G138+G140+G141+G153+G155+G156+G186+G187+G142+G110+G111+G113</f>
        <v>4640.3999999999996</v>
      </c>
      <c r="H196" s="52">
        <f>+H34+H37+H119+H121+H136+H138+H140+H141+H153+H155+H156+H186+H187+H142+H110+H111+H113</f>
        <v>1216.2</v>
      </c>
      <c r="I196" s="5"/>
      <c r="J196" s="90"/>
    </row>
    <row r="197" spans="2:10" ht="45.6" customHeight="1" x14ac:dyDescent="0.25">
      <c r="B197" s="2"/>
      <c r="C197" s="33" t="s">
        <v>148</v>
      </c>
      <c r="D197" s="33"/>
      <c r="E197" s="50"/>
      <c r="F197" s="50">
        <f>+F195-E195</f>
        <v>1235.2000000000025</v>
      </c>
      <c r="G197" s="50">
        <f>+G195-F195</f>
        <v>1395.399999999996</v>
      </c>
      <c r="H197" s="50">
        <f>+H195-G195</f>
        <v>-4140.6999999999971</v>
      </c>
      <c r="I197" s="5"/>
      <c r="J197" s="90"/>
    </row>
    <row r="198" spans="2:10" ht="15" customHeight="1" x14ac:dyDescent="0.25">
      <c r="C198" s="8"/>
    </row>
    <row r="199" spans="2:10" ht="15" customHeight="1" x14ac:dyDescent="0.25">
      <c r="B199" s="236" t="s">
        <v>149</v>
      </c>
      <c r="C199" s="236"/>
      <c r="D199" s="236"/>
      <c r="E199" s="236"/>
      <c r="F199" s="236"/>
      <c r="G199" s="236"/>
      <c r="H199" s="236"/>
      <c r="I199" s="236"/>
    </row>
    <row r="200" spans="2:10" ht="15" customHeight="1" x14ac:dyDescent="0.25">
      <c r="B200" s="240" t="s">
        <v>150</v>
      </c>
      <c r="C200" s="240"/>
      <c r="D200" s="240"/>
      <c r="E200" s="240"/>
      <c r="F200" s="240"/>
      <c r="G200" s="240"/>
      <c r="H200" s="240"/>
      <c r="I200" s="240"/>
    </row>
    <row r="201" spans="2:10" ht="15" customHeight="1" x14ac:dyDescent="0.25">
      <c r="B201" s="236" t="s">
        <v>151</v>
      </c>
      <c r="C201" s="236"/>
      <c r="D201" s="236"/>
      <c r="E201" s="236"/>
      <c r="F201" s="236"/>
      <c r="G201" s="236"/>
      <c r="H201" s="236"/>
      <c r="I201" s="236"/>
    </row>
    <row r="202" spans="2:10" ht="15" customHeight="1" x14ac:dyDescent="0.25">
      <c r="B202" s="236" t="s">
        <v>152</v>
      </c>
      <c r="C202" s="236"/>
      <c r="D202" s="236"/>
      <c r="E202" s="236"/>
      <c r="F202" s="236"/>
      <c r="G202" s="236"/>
      <c r="H202" s="236"/>
      <c r="I202" s="236"/>
    </row>
    <row r="203" spans="2:10" ht="15" customHeight="1" x14ac:dyDescent="0.25">
      <c r="B203" s="236" t="s">
        <v>153</v>
      </c>
      <c r="C203" s="236"/>
      <c r="D203" s="236"/>
      <c r="E203" s="236"/>
      <c r="F203" s="236"/>
      <c r="G203" s="236"/>
      <c r="H203" s="236"/>
      <c r="I203" s="236"/>
    </row>
    <row r="204" spans="2:10" ht="15" customHeight="1" x14ac:dyDescent="0.25">
      <c r="B204" s="235"/>
      <c r="C204" s="235"/>
      <c r="D204" s="235"/>
      <c r="E204" s="235"/>
      <c r="F204" s="235"/>
      <c r="G204" s="235"/>
      <c r="H204" s="235"/>
      <c r="I204" s="235"/>
    </row>
    <row r="205" spans="2:10" x14ac:dyDescent="0.25">
      <c r="B205" s="211" t="s">
        <v>154</v>
      </c>
      <c r="C205" s="211"/>
      <c r="D205" s="211"/>
      <c r="E205" s="211"/>
      <c r="F205" s="211"/>
      <c r="G205" s="211"/>
      <c r="H205" s="211"/>
      <c r="I205" s="211"/>
    </row>
    <row r="206" spans="2:10" x14ac:dyDescent="0.25">
      <c r="B206" s="211" t="s">
        <v>155</v>
      </c>
      <c r="C206" s="211"/>
      <c r="D206" s="211"/>
      <c r="E206" s="211"/>
      <c r="F206" s="211"/>
      <c r="G206" s="211"/>
      <c r="H206" s="211"/>
      <c r="I206" s="211"/>
    </row>
    <row r="207" spans="2:10" x14ac:dyDescent="0.25">
      <c r="B207" s="211" t="s">
        <v>156</v>
      </c>
      <c r="C207" s="211"/>
      <c r="D207" s="211"/>
      <c r="E207" s="211"/>
      <c r="F207" s="211"/>
      <c r="G207" s="211"/>
      <c r="H207" s="211"/>
      <c r="I207" s="211"/>
    </row>
    <row r="210" spans="3:8" x14ac:dyDescent="0.25">
      <c r="C210" s="82"/>
      <c r="D210" s="82"/>
      <c r="E210" s="67"/>
      <c r="F210" s="67"/>
      <c r="G210" s="67"/>
      <c r="H210" s="67"/>
    </row>
    <row r="211" spans="3:8" x14ac:dyDescent="0.25">
      <c r="C211" s="82"/>
      <c r="D211" s="82"/>
      <c r="E211" s="83"/>
      <c r="F211" s="83"/>
      <c r="G211" s="83"/>
      <c r="H211" s="83"/>
    </row>
    <row r="212" spans="3:8" x14ac:dyDescent="0.25">
      <c r="C212" s="82"/>
      <c r="D212" s="82"/>
      <c r="E212" s="83"/>
      <c r="F212" s="83"/>
      <c r="G212" s="83"/>
      <c r="H212" s="83"/>
    </row>
    <row r="213" spans="3:8" x14ac:dyDescent="0.25">
      <c r="C213" s="82"/>
      <c r="D213" s="82"/>
      <c r="E213" s="83"/>
      <c r="F213" s="83"/>
      <c r="G213" s="83"/>
      <c r="H213" s="83"/>
    </row>
    <row r="214" spans="3:8" x14ac:dyDescent="0.25">
      <c r="C214" s="82"/>
      <c r="D214" s="82"/>
      <c r="E214" s="83"/>
      <c r="F214" s="83"/>
      <c r="G214" s="83"/>
      <c r="H214" s="83"/>
    </row>
  </sheetData>
  <mergeCells count="91">
    <mergeCell ref="B42:B45"/>
    <mergeCell ref="B63:B64"/>
    <mergeCell ref="B54:B55"/>
    <mergeCell ref="B47:B49"/>
    <mergeCell ref="B104:B106"/>
    <mergeCell ref="B52:B53"/>
    <mergeCell ref="B56:B57"/>
    <mergeCell ref="B72:B73"/>
    <mergeCell ref="B58:B59"/>
    <mergeCell ref="B60:B62"/>
    <mergeCell ref="B69:B70"/>
    <mergeCell ref="B67:B68"/>
    <mergeCell ref="B84:B86"/>
    <mergeCell ref="B65:B66"/>
    <mergeCell ref="B87:B91"/>
    <mergeCell ref="B27:B29"/>
    <mergeCell ref="D27:D32"/>
    <mergeCell ref="D38:D40"/>
    <mergeCell ref="D33:D37"/>
    <mergeCell ref="B30:B32"/>
    <mergeCell ref="B33:B37"/>
    <mergeCell ref="B38:B40"/>
    <mergeCell ref="B109:B113"/>
    <mergeCell ref="D109:D110"/>
    <mergeCell ref="D111:D113"/>
    <mergeCell ref="D107:D108"/>
    <mergeCell ref="B92:B94"/>
    <mergeCell ref="B107:B108"/>
    <mergeCell ref="B95:B96"/>
    <mergeCell ref="D97:D98"/>
    <mergeCell ref="D87:D96"/>
    <mergeCell ref="D52:D70"/>
    <mergeCell ref="D104:D106"/>
    <mergeCell ref="B80:B81"/>
    <mergeCell ref="B82:B83"/>
    <mergeCell ref="H1:I1"/>
    <mergeCell ref="H2:I2"/>
    <mergeCell ref="D9:D19"/>
    <mergeCell ref="D21:D23"/>
    <mergeCell ref="D24:D26"/>
    <mergeCell ref="B4:I4"/>
    <mergeCell ref="B18:B20"/>
    <mergeCell ref="B15:B17"/>
    <mergeCell ref="B9:B11"/>
    <mergeCell ref="B12:B14"/>
    <mergeCell ref="B24:B26"/>
    <mergeCell ref="B21:B23"/>
    <mergeCell ref="D183:D184"/>
    <mergeCell ref="D170:D174"/>
    <mergeCell ref="D118:D121"/>
    <mergeCell ref="D152:D156"/>
    <mergeCell ref="D143:D151"/>
    <mergeCell ref="D135:D142"/>
    <mergeCell ref="D157:D158"/>
    <mergeCell ref="B128:B129"/>
    <mergeCell ref="B157:B158"/>
    <mergeCell ref="B204:I204"/>
    <mergeCell ref="B172:B174"/>
    <mergeCell ref="B202:I202"/>
    <mergeCell ref="B185:B187"/>
    <mergeCell ref="B183:B184"/>
    <mergeCell ref="B189:B191"/>
    <mergeCell ref="B176:B178"/>
    <mergeCell ref="B199:I199"/>
    <mergeCell ref="B200:I200"/>
    <mergeCell ref="B181:B182"/>
    <mergeCell ref="B203:I203"/>
    <mergeCell ref="B201:I201"/>
    <mergeCell ref="D181:D182"/>
    <mergeCell ref="D185:D187"/>
    <mergeCell ref="B131:B134"/>
    <mergeCell ref="B139:B142"/>
    <mergeCell ref="B135:B138"/>
    <mergeCell ref="B143:B145"/>
    <mergeCell ref="B148:B151"/>
    <mergeCell ref="D114:D115"/>
    <mergeCell ref="B206:I206"/>
    <mergeCell ref="B207:I207"/>
    <mergeCell ref="D80:D83"/>
    <mergeCell ref="D84:D86"/>
    <mergeCell ref="B205:I205"/>
    <mergeCell ref="D131:D134"/>
    <mergeCell ref="B100:B101"/>
    <mergeCell ref="B170:B171"/>
    <mergeCell ref="B166:B168"/>
    <mergeCell ref="B160:B164"/>
    <mergeCell ref="B97:B98"/>
    <mergeCell ref="B118:B121"/>
    <mergeCell ref="B123:B126"/>
    <mergeCell ref="B152:B156"/>
    <mergeCell ref="B146:B147"/>
  </mergeCells>
  <pageMargins left="0.39370078740157483" right="0.39370078740157483" top="0.59055118110236227" bottom="0.59055118110236227" header="0" footer="0"/>
  <pageSetup paperSize="9" scale="66" fitToHeight="0" orientation="portrait" r:id="rId1"/>
  <rowBreaks count="4" manualBreakCount="4">
    <brk id="40" max="8" man="1"/>
    <brk id="86" max="8" man="1"/>
    <brk id="129" max="8" man="1"/>
    <brk id="174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CFF6-2EFF-4A24-B7BC-217AC98A857B}">
  <sheetPr>
    <pageSetUpPr fitToPage="1"/>
  </sheetPr>
  <dimension ref="B1:G25"/>
  <sheetViews>
    <sheetView workbookViewId="0">
      <selection activeCell="B1" sqref="B1:G1"/>
    </sheetView>
  </sheetViews>
  <sheetFormatPr defaultColWidth="9.44140625" defaultRowHeight="13.2" x14ac:dyDescent="0.25"/>
  <cols>
    <col min="1" max="1" width="2.5546875" style="1" customWidth="1"/>
    <col min="2" max="2" width="4.5546875" style="1" customWidth="1"/>
    <col min="3" max="3" width="44.5546875" style="6" customWidth="1"/>
    <col min="4" max="7" width="11.88671875" style="1" customWidth="1"/>
    <col min="8" max="16384" width="9.44140625" style="1"/>
  </cols>
  <sheetData>
    <row r="1" spans="2:7" ht="15.75" customHeight="1" x14ac:dyDescent="0.25">
      <c r="B1" s="290" t="s">
        <v>157</v>
      </c>
      <c r="C1" s="290"/>
      <c r="D1" s="290"/>
      <c r="E1" s="290"/>
      <c r="F1" s="290"/>
      <c r="G1" s="290"/>
    </row>
    <row r="2" spans="2:7" x14ac:dyDescent="0.25">
      <c r="C2" s="1"/>
    </row>
    <row r="3" spans="2:7" ht="67.95" customHeight="1" x14ac:dyDescent="0.25">
      <c r="B3" s="73" t="s">
        <v>158</v>
      </c>
      <c r="C3" s="118" t="s">
        <v>159</v>
      </c>
      <c r="D3" s="73" t="s">
        <v>160</v>
      </c>
      <c r="E3" s="73" t="s">
        <v>161</v>
      </c>
      <c r="F3" s="73" t="s">
        <v>162</v>
      </c>
      <c r="G3" s="73" t="s">
        <v>163</v>
      </c>
    </row>
    <row r="4" spans="2:7" ht="10.95" customHeight="1" x14ac:dyDescent="0.25">
      <c r="B4" s="133">
        <v>1</v>
      </c>
      <c r="C4" s="134">
        <v>2</v>
      </c>
      <c r="D4" s="135">
        <v>3</v>
      </c>
      <c r="E4" s="135">
        <v>4</v>
      </c>
      <c r="F4" s="135">
        <v>5</v>
      </c>
      <c r="G4" s="135">
        <v>6</v>
      </c>
    </row>
    <row r="5" spans="2:7" ht="18.75" customHeight="1" x14ac:dyDescent="0.25">
      <c r="B5" s="289" t="s">
        <v>164</v>
      </c>
      <c r="C5" s="289"/>
      <c r="D5" s="289"/>
      <c r="E5" s="289"/>
      <c r="F5" s="289"/>
      <c r="G5" s="289"/>
    </row>
    <row r="6" spans="2:7" ht="12.75" customHeight="1" x14ac:dyDescent="0.25">
      <c r="B6" s="115" t="s">
        <v>165</v>
      </c>
      <c r="C6" s="116" t="s">
        <v>43</v>
      </c>
      <c r="D6" s="117">
        <f>+D8+D9+D10+D11+D12+D13</f>
        <v>11203.8</v>
      </c>
      <c r="E6" s="117">
        <f>+E8+E9+E10+E11+E12+E13</f>
        <v>9687.7999999999993</v>
      </c>
      <c r="F6" s="117">
        <f t="shared" ref="F6:G6" si="0">+F8+F9+F10+F11+F12+F13</f>
        <v>9593.0999999999985</v>
      </c>
      <c r="G6" s="117">
        <f t="shared" si="0"/>
        <v>8664.3000000000011</v>
      </c>
    </row>
    <row r="7" spans="2:7" ht="13.5" customHeight="1" x14ac:dyDescent="0.25">
      <c r="B7" s="75"/>
      <c r="C7" s="127" t="s">
        <v>166</v>
      </c>
      <c r="D7" s="98"/>
      <c r="E7" s="50"/>
      <c r="F7" s="50"/>
      <c r="G7" s="50"/>
    </row>
    <row r="8" spans="2:7" ht="27.75" customHeight="1" x14ac:dyDescent="0.25">
      <c r="B8" s="75" t="s">
        <v>167</v>
      </c>
      <c r="C8" s="128" t="s">
        <v>168</v>
      </c>
      <c r="D8" s="125">
        <f>SUMIF('005 programa 3 lentelė'!$C7:$C197,'005 programa 3 lentelė'!$C10,'005 programa 3 lentelė'!E7:E197)</f>
        <v>7673.5</v>
      </c>
      <c r="E8" s="125">
        <f>SUMIF('005 programa 3 lentelė'!$C7:$C197,'005 programa 3 lentelė'!$C10,'005 programa 3 lentelė'!F7:F197)</f>
        <v>8809.9</v>
      </c>
      <c r="F8" s="99">
        <f>SUMIF('005 programa 3 lentelė'!$C7:$C197,'005 programa 3 lentelė'!$C10,'005 programa 3 lentelė'!G7:G197)</f>
        <v>8988.0999999999985</v>
      </c>
      <c r="G8" s="99">
        <f>SUMIF('005 programa 3 lentelė'!$C7:$C197,'005 programa 3 lentelė'!$C10,'005 programa 3 lentelė'!H7:H197)</f>
        <v>8664.3000000000011</v>
      </c>
    </row>
    <row r="9" spans="2:7" ht="15" customHeight="1" x14ac:dyDescent="0.25">
      <c r="B9" s="75" t="s">
        <v>169</v>
      </c>
      <c r="C9" s="129" t="s">
        <v>112</v>
      </c>
      <c r="D9" s="125">
        <f>SUMIF('005 programa 3 lentelė'!$C7:$C197,'005 programa 3 lentelė'!$C133,'005 programa 3 lentelė'!E7:E197)</f>
        <v>521</v>
      </c>
      <c r="E9" s="125">
        <f>SUMIF('005 programa 3 lentelė'!$C8:$C198,'005 programa 3 lentelė'!$C133,'005 programa 3 lentelė'!F8:F198)</f>
        <v>0</v>
      </c>
      <c r="F9" s="99">
        <f>SUMIF('005 programa 3 lentelė'!$C7:$C197,'005 programa 3 lentelė'!$C133,'005 programa 3 lentelė'!G7:G197)</f>
        <v>0</v>
      </c>
      <c r="G9" s="99">
        <f>SUMIF('005 programa 3 lentelė'!$C7:$C197,'005 programa 3 lentelė'!$C133,'005 programa 3 lentelė'!H7:H197)</f>
        <v>0</v>
      </c>
    </row>
    <row r="10" spans="2:7" ht="17.399999999999999" customHeight="1" x14ac:dyDescent="0.25">
      <c r="B10" s="75" t="s">
        <v>170</v>
      </c>
      <c r="C10" s="129" t="s">
        <v>171</v>
      </c>
      <c r="D10" s="125" cm="1">
        <f t="array" ref="D10">SUMIF('005 programa 3 lentelė'!$C7:$C197,'005 programa 3 lentelė'!C00,'005 programa 3 lentelė'!E7:E197)</f>
        <v>0</v>
      </c>
      <c r="E10" s="125">
        <f>SUMIF('005 programa 3 lentelė'!$C9:$C199,'005 programa 3 lentelė'!$C12,'005 programa 3 lentelė'!F9:F199)</f>
        <v>0</v>
      </c>
      <c r="F10" s="99" cm="1">
        <f t="array" ref="F10">SUMIF('005 programa 3 lentelė'!$C7:$C197,'005 programa 3 lentelė'!C00,'005 programa 3 lentelė'!G7:G197)</f>
        <v>0</v>
      </c>
      <c r="G10" s="99" cm="1">
        <f t="array" ref="G10">SUMIF('005 programa 3 lentelė'!$C7:$C197,'005 programa 3 lentelė'!C00,'005 programa 3 lentelė'!H7:H197)</f>
        <v>0</v>
      </c>
    </row>
    <row r="11" spans="2:7" ht="28.5" customHeight="1" x14ac:dyDescent="0.25">
      <c r="B11" s="75" t="s">
        <v>172</v>
      </c>
      <c r="C11" s="129" t="s">
        <v>173</v>
      </c>
      <c r="D11" s="125" cm="1">
        <f t="array" ref="D11">SUMIF('005 programa 3 lentelė'!$C7:$C197,'005 programa 3 lentelė'!C00,'005 programa 3 lentelė'!E7:E197)</f>
        <v>0</v>
      </c>
      <c r="E11" s="125" cm="1">
        <f t="array" ref="E11">SUMIF('005 programa 3 lentelė'!$C10:$C200,'005 programa 3 lentelė'!C00,'005 programa 3 lentelė'!F10:F200)</f>
        <v>0</v>
      </c>
      <c r="F11" s="99" cm="1">
        <f t="array" ref="F11">SUMIF('005 programa 3 lentelė'!$C7:$C197,'005 programa 3 lentelė'!C00,'005 programa 3 lentelė'!G7:G197)</f>
        <v>0</v>
      </c>
      <c r="G11" s="99" cm="1">
        <f t="array" ref="G11">SUMIF('005 programa 3 lentelė'!$C7:$C197,'005 programa 3 lentelė'!C00,'005 programa 3 lentelė'!H7:H197)</f>
        <v>0</v>
      </c>
    </row>
    <row r="12" spans="2:7" ht="16.2" customHeight="1" x14ac:dyDescent="0.25">
      <c r="B12" s="75" t="s">
        <v>174</v>
      </c>
      <c r="C12" s="129" t="s">
        <v>175</v>
      </c>
      <c r="D12" s="125">
        <f>SUMIF('005 programa 3 lentelė'!$C7:$C197,'005 programa 3 lentelė'!$C35,'005 programa 3 lentelė'!E7:E197)</f>
        <v>0</v>
      </c>
      <c r="E12" s="125">
        <f>SUMIF('005 programa 3 lentelė'!$C7:$C197,'005 programa 3 lentelė'!$C35,'005 programa 3 lentelė'!F7:F197)</f>
        <v>0</v>
      </c>
      <c r="F12" s="125">
        <f>SUMIF('005 programa 3 lentelė'!$C7:$C197,'005 programa 3 lentelė'!$C35,'005 programa 3 lentelė'!G7:G197)</f>
        <v>605</v>
      </c>
      <c r="G12" s="125">
        <f>SUMIF('005 programa 3 lentelė'!$C7:$C197,'005 programa 3 lentelė'!$C35,'005 programa 3 lentelė'!H7:H197)</f>
        <v>0</v>
      </c>
    </row>
    <row r="13" spans="2:7" ht="18.600000000000001" customHeight="1" x14ac:dyDescent="0.25">
      <c r="B13" s="75" t="s">
        <v>176</v>
      </c>
      <c r="C13" s="129" t="s">
        <v>177</v>
      </c>
      <c r="D13" s="125">
        <f>SUMIF('005 programa 3 lentelė'!$C7:$C197,'005 programa 3 lentelė'!$C23,'005 programa 3 lentelė'!E7:E197)</f>
        <v>3009.3</v>
      </c>
      <c r="E13" s="125">
        <f>SUMIF('005 programa 3 lentelė'!$C7:$C197,'005 programa 3 lentelė'!$C23,'005 programa 3 lentelė'!F7:F197)</f>
        <v>877.90000000000009</v>
      </c>
      <c r="F13" s="119">
        <f>SUMIF('005 programa 3 lentelė'!$C7:$C197,'005 programa 3 lentelė'!$C23,'005 programa 3 lentelė'!G7:G197)</f>
        <v>0</v>
      </c>
      <c r="G13" s="119">
        <f>SUMIF('005 programa 3 lentelė'!$C7:$C197,'005 programa 3 lentelė'!$C23,'005 programa 3 lentelė'!H7:H197)</f>
        <v>0</v>
      </c>
    </row>
    <row r="14" spans="2:7" ht="39.75" customHeight="1" x14ac:dyDescent="0.25">
      <c r="B14" s="74" t="s">
        <v>178</v>
      </c>
      <c r="C14" s="127" t="s">
        <v>179</v>
      </c>
      <c r="D14" s="126">
        <f t="shared" ref="D14:G14" si="1">+D16+D17+D18+D19+D20+D21</f>
        <v>21.200000000000003</v>
      </c>
      <c r="E14" s="126">
        <f t="shared" si="1"/>
        <v>2772.4</v>
      </c>
      <c r="F14" s="100">
        <f t="shared" si="1"/>
        <v>4262.5</v>
      </c>
      <c r="G14" s="100">
        <f t="shared" si="1"/>
        <v>1050.6000000000001</v>
      </c>
    </row>
    <row r="15" spans="2:7" ht="15" customHeight="1" x14ac:dyDescent="0.25">
      <c r="B15" s="75"/>
      <c r="C15" s="127" t="s">
        <v>166</v>
      </c>
      <c r="D15" s="101"/>
      <c r="E15" s="120"/>
      <c r="F15" s="50"/>
      <c r="G15" s="50"/>
    </row>
    <row r="16" spans="2:7" ht="15" customHeight="1" x14ac:dyDescent="0.25">
      <c r="B16" s="75" t="s">
        <v>180</v>
      </c>
      <c r="C16" s="129" t="s">
        <v>181</v>
      </c>
      <c r="D16" s="125">
        <f>SUMIF('005 programa 3 lentelė'!$C7:$C197,'005 programa 3 lentelė'!$C37,'005 programa 3 lentelė'!E7:E197)</f>
        <v>0</v>
      </c>
      <c r="E16" s="125">
        <f>SUMIF('005 programa 3 lentelė'!$C7:$C197,'005 programa 3 lentelė'!$C37,'005 programa 3 lentelė'!F7:F197)</f>
        <v>2772.4</v>
      </c>
      <c r="F16" s="99">
        <f>SUMIF('005 programa 3 lentelė'!$C7:$C197,'005 programa 3 lentelė'!$C37,'005 programa 3 lentelė'!G7:G197)</f>
        <v>4262.5</v>
      </c>
      <c r="G16" s="99">
        <f>SUMIF('005 programa 3 lentelė'!$C7:$C197,'005 programa 3 lentelė'!$C37,'005 programa 3 lentelė'!H7:H197)</f>
        <v>1050.6000000000001</v>
      </c>
    </row>
    <row r="17" spans="2:7" ht="15.6" customHeight="1" x14ac:dyDescent="0.25">
      <c r="B17" s="75" t="s">
        <v>182</v>
      </c>
      <c r="C17" s="129" t="s">
        <v>183</v>
      </c>
      <c r="D17" s="125" cm="1">
        <f t="array" ref="D17">SUMIF('005 programa 3 lentelė'!$C7:$C197,'005 programa 3 lentelė'!C00,'005 programa 3 lentelė'!E7:E197)</f>
        <v>0</v>
      </c>
      <c r="E17" s="125" cm="1">
        <f t="array" ref="E17">SUMIF('005 programa 3 lentelė'!$C7:$C197,'005 programa 3 lentelė'!C00,'005 programa 3 lentelė'!F7:F197)</f>
        <v>0</v>
      </c>
      <c r="F17" s="99" cm="1">
        <f t="array" ref="F17">SUMIF('005 programa 3 lentelė'!$C7:$C197,'005 programa 3 lentelė'!C00,'005 programa 3 lentelė'!G7:G197)</f>
        <v>0</v>
      </c>
      <c r="G17" s="99" cm="1">
        <f t="array" ref="G17">SUMIF('005 programa 3 lentelė'!$C7:$C197,'005 programa 3 lentelė'!C00,'005 programa 3 lentelė'!H7:H197)</f>
        <v>0</v>
      </c>
    </row>
    <row r="18" spans="2:7" ht="24.75" customHeight="1" x14ac:dyDescent="0.25">
      <c r="B18" s="75" t="s">
        <v>184</v>
      </c>
      <c r="C18" s="129" t="s">
        <v>185</v>
      </c>
      <c r="D18" s="125" cm="1">
        <f t="array" ref="D18">SUMIF('005 programa 3 lentelė'!$C7:$C197,'005 programa 3 lentelė'!C00,'005 programa 3 lentelė'!E7:E197)</f>
        <v>0</v>
      </c>
      <c r="E18" s="125" cm="1">
        <f t="array" ref="E18">SUMIF('005 programa 3 lentelė'!$C7:$C197,'005 programa 3 lentelė'!C00,'005 programa 3 lentelė'!F7:F197)</f>
        <v>0</v>
      </c>
      <c r="F18" s="99" cm="1">
        <f t="array" ref="F18">SUMIF('005 programa 3 lentelė'!$C7:$C197,'005 programa 3 lentelė'!C00,'005 programa 3 lentelė'!G7:G197)</f>
        <v>0</v>
      </c>
      <c r="G18" s="99" cm="1">
        <f t="array" ref="G18">SUMIF('005 programa 3 lentelė'!$C7:$C197,'005 programa 3 lentelė'!C00,'005 programa 3 lentelė'!H7:H197)</f>
        <v>0</v>
      </c>
    </row>
    <row r="19" spans="2:7" ht="15" customHeight="1" x14ac:dyDescent="0.25">
      <c r="B19" s="75" t="s">
        <v>186</v>
      </c>
      <c r="C19" s="129" t="s">
        <v>187</v>
      </c>
      <c r="D19" s="125">
        <f>SUMIF('005 programa 3 lentelė'!$C7:$C197,'005 programa 3 lentelė'!$C29,'005 programa 3 lentelė'!E7:E197)</f>
        <v>6.9</v>
      </c>
      <c r="E19" s="125">
        <f>SUMIF('005 programa 3 lentelė'!$C7:$C197,'005 programa 3 lentelė'!$C29,'005 programa 3 lentelė'!F7:F197)</f>
        <v>0</v>
      </c>
      <c r="F19" s="99">
        <f>SUMIF('005 programa 3 lentelė'!$C7:$C197,'005 programa 3 lentelė'!$C29,'005 programa 3 lentelė'!G7:G197)</f>
        <v>0</v>
      </c>
      <c r="G19" s="99">
        <f>SUMIF('005 programa 3 lentelė'!$C7:$C197,'005 programa 3 lentelė'!$C29,'005 programa 3 lentelė'!H7:H197)</f>
        <v>0</v>
      </c>
    </row>
    <row r="20" spans="2:7" ht="15" customHeight="1" x14ac:dyDescent="0.25">
      <c r="B20" s="75" t="s">
        <v>188</v>
      </c>
      <c r="C20" s="129" t="s">
        <v>72</v>
      </c>
      <c r="D20" s="125">
        <f>SUMIF('005 programa 3 lentelė'!$C7:$C197,'005 programa 3 lentelė'!$C70,'005 programa 3 lentelė'!E7:E197)</f>
        <v>14.3</v>
      </c>
      <c r="E20" s="125">
        <f>SUMIF('005 programa 3 lentelė'!$C7:$C197,'005 programa 3 lentelė'!$C70,'005 programa 3 lentelė'!F7:F197)</f>
        <v>0</v>
      </c>
      <c r="F20" s="99">
        <f>SUMIF('005 programa 3 lentelė'!$C7:$C197,'005 programa 3 lentelė'!$C70,'005 programa 3 lentelė'!G7:G197)</f>
        <v>0</v>
      </c>
      <c r="G20" s="99">
        <f>SUMIF('005 programa 3 lentelė'!$C7:$C197,'005 programa 3 lentelė'!$C70,'005 programa 3 lentelė'!H7:H197)</f>
        <v>0</v>
      </c>
    </row>
    <row r="21" spans="2:7" ht="15" customHeight="1" x14ac:dyDescent="0.25">
      <c r="B21" s="75" t="s">
        <v>189</v>
      </c>
      <c r="C21" s="129" t="s">
        <v>190</v>
      </c>
      <c r="D21" s="125">
        <f>SUMIF('005 programa 3 lentelė'!$C7:$C197,'005 programa 3 lentelė'!$C151,'005 programa 3 lentelė'!E7:E197)</f>
        <v>0</v>
      </c>
      <c r="E21" s="125">
        <f>SUMIF('005 programa 3 lentelė'!$C7:$C197,'005 programa 3 lentelė'!$C151,'005 programa 3 lentelė'!F7:F197)</f>
        <v>0</v>
      </c>
      <c r="F21" s="125">
        <f>SUMIF('005 programa 3 lentelė'!$C7:$C197,'005 programa 3 lentelė'!$C151,'005 programa 3 lentelė'!G7:G197)</f>
        <v>0</v>
      </c>
      <c r="G21" s="125">
        <f>SUMIF('005 programa 3 lentelė'!$C7:$C197,'005 programa 3 lentelė'!$C151,'005 programa 3 lentelė'!H7:H197)</f>
        <v>0</v>
      </c>
    </row>
    <row r="22" spans="2:7" ht="28.5" customHeight="1" x14ac:dyDescent="0.25">
      <c r="B22" s="75"/>
      <c r="C22" s="76" t="s">
        <v>191</v>
      </c>
      <c r="D22" s="50">
        <f t="shared" ref="D22:G22" si="2">+D6+D14</f>
        <v>11225</v>
      </c>
      <c r="E22" s="50">
        <f>+E6+E14</f>
        <v>12460.199999999999</v>
      </c>
      <c r="F22" s="50">
        <f t="shared" si="2"/>
        <v>13855.599999999999</v>
      </c>
      <c r="G22" s="50">
        <f t="shared" si="2"/>
        <v>9714.9000000000015</v>
      </c>
    </row>
    <row r="23" spans="2:7" ht="14.25" customHeight="1" x14ac:dyDescent="0.25">
      <c r="B23" s="75"/>
      <c r="C23" s="76" t="s">
        <v>147</v>
      </c>
      <c r="D23" s="49">
        <f>+'005 programa 3 lentelė'!E196</f>
        <v>322.90000000000003</v>
      </c>
      <c r="E23" s="49">
        <f>+'005 programa 3 lentelė'!F196</f>
        <v>3539.5000000000005</v>
      </c>
      <c r="F23" s="49">
        <f>+'005 programa 3 lentelė'!G196</f>
        <v>4640.3999999999996</v>
      </c>
      <c r="G23" s="49">
        <f>+'005 programa 3 lentelė'!H196</f>
        <v>1216.2</v>
      </c>
    </row>
    <row r="24" spans="2:7" ht="32.4" customHeight="1" x14ac:dyDescent="0.25">
      <c r="B24" s="75"/>
      <c r="C24" s="76" t="s">
        <v>148</v>
      </c>
      <c r="D24" s="49"/>
      <c r="E24" s="101">
        <f>+'005 programa 3 lentelė'!F197</f>
        <v>1235.2000000000025</v>
      </c>
      <c r="F24" s="101">
        <f>+'005 programa 3 lentelė'!G197</f>
        <v>1395.399999999996</v>
      </c>
      <c r="G24" s="101">
        <f>+'005 programa 3 lentelė'!H197</f>
        <v>-4140.6999999999971</v>
      </c>
    </row>
    <row r="25" spans="2:7" x14ac:dyDescent="0.25">
      <c r="B25" s="77"/>
      <c r="C25" s="78"/>
      <c r="D25" s="78"/>
      <c r="E25" s="77"/>
      <c r="F25" s="77"/>
      <c r="G25" s="77"/>
    </row>
  </sheetData>
  <mergeCells count="2">
    <mergeCell ref="B5:G5"/>
    <mergeCell ref="B1:G1"/>
  </mergeCells>
  <pageMargins left="0.7" right="0.7" top="0.75" bottom="0.75" header="0.3" footer="0.3"/>
  <pageSetup paperSize="9" scale="88" fitToHeight="0" orientation="portrait" r:id="rId1"/>
  <ignoredErrors>
    <ignoredError sqref="E19 D19 F19:G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005 programa 3 lentelė</vt:lpstr>
      <vt:lpstr>Lėšų suvestinė 2 lentelė</vt:lpstr>
      <vt:lpstr>'005 programa 3 lentelė'!Print_Area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Inga Mikalauskienė</cp:lastModifiedBy>
  <cp:revision/>
  <cp:lastPrinted>2024-12-19T14:29:31Z</cp:lastPrinted>
  <dcterms:created xsi:type="dcterms:W3CDTF">2023-07-11T10:34:54Z</dcterms:created>
  <dcterms:modified xsi:type="dcterms:W3CDTF">2024-12-20T07:55:44Z</dcterms:modified>
  <cp:category/>
  <cp:contentStatus/>
</cp:coreProperties>
</file>