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0AA6785D-79AC-465C-A2DD-D6FE5F1C4852}" xr6:coauthVersionLast="47" xr6:coauthVersionMax="47" xr10:uidLastSave="{00000000-0000-0000-0000-000000000000}"/>
  <bookViews>
    <workbookView xWindow="-108" yWindow="-108" windowWidth="23256" windowHeight="12456" xr2:uid="{FEA9E383-1DE5-4AFE-98A8-7A94D3659092}"/>
  </bookViews>
  <sheets>
    <sheet name="006 programa 3 lentelė" sheetId="1" r:id="rId1"/>
    <sheet name="Lėšų suvestinė 2 lentelė" sheetId="3" r:id="rId2"/>
  </sheets>
  <definedNames>
    <definedName name="_xlnm.Print_Area" localSheetId="0">'006 programa 3 lentelė'!$A$1:$I$231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4" i="1" l="1"/>
  <c r="H150" i="1"/>
  <c r="F12" i="3"/>
  <c r="E12" i="3"/>
  <c r="G12" i="3"/>
  <c r="D12" i="3"/>
  <c r="F214" i="1"/>
  <c r="F211" i="1" s="1"/>
  <c r="G214" i="1"/>
  <c r="G211" i="1" s="1"/>
  <c r="H214" i="1"/>
  <c r="H211" i="1" s="1"/>
  <c r="E214" i="1"/>
  <c r="E211" i="1" s="1"/>
  <c r="G207" i="1"/>
  <c r="H74" i="1"/>
  <c r="F215" i="1"/>
  <c r="F188" i="1"/>
  <c r="D18" i="3"/>
  <c r="E144" i="1"/>
  <c r="F143" i="1"/>
  <c r="G143" i="1"/>
  <c r="H143" i="1"/>
  <c r="E89" i="1"/>
  <c r="E80" i="1"/>
  <c r="E74" i="1"/>
  <c r="E51" i="1"/>
  <c r="E46" i="1"/>
  <c r="E12" i="1"/>
  <c r="H69" i="1"/>
  <c r="F89" i="1"/>
  <c r="F80" i="1"/>
  <c r="F28" i="1"/>
  <c r="F101" i="1"/>
  <c r="F33" i="1"/>
  <c r="H179" i="1"/>
  <c r="H193" i="1" s="1"/>
  <c r="G179" i="1"/>
  <c r="G193" i="1" s="1"/>
  <c r="F104" i="1"/>
  <c r="F179" i="1"/>
  <c r="F193" i="1" s="1"/>
  <c r="F46" i="1"/>
  <c r="F174" i="1"/>
  <c r="F190" i="1"/>
  <c r="H142" i="1"/>
  <c r="G142" i="1"/>
  <c r="F42" i="1"/>
  <c r="F146" i="1"/>
  <c r="E90" i="1"/>
  <c r="E91" i="1"/>
  <c r="E81" i="1"/>
  <c r="E71" i="1"/>
  <c r="E70" i="1"/>
  <c r="E215" i="1"/>
  <c r="H213" i="1"/>
  <c r="G213" i="1"/>
  <c r="F213" i="1"/>
  <c r="H146" i="1"/>
  <c r="G146" i="1"/>
  <c r="H145" i="1"/>
  <c r="G145" i="1"/>
  <c r="F145" i="1"/>
  <c r="E145" i="1"/>
  <c r="F142" i="1"/>
  <c r="E142" i="1"/>
  <c r="H139" i="1"/>
  <c r="G139" i="1"/>
  <c r="F139" i="1"/>
  <c r="H138" i="1"/>
  <c r="G138" i="1"/>
  <c r="F138" i="1"/>
  <c r="E137" i="1"/>
  <c r="F136" i="1"/>
  <c r="E220" i="1"/>
  <c r="G111" i="1"/>
  <c r="H106" i="1"/>
  <c r="F106" i="1"/>
  <c r="G28" i="1"/>
  <c r="G24" i="1"/>
  <c r="F24" i="1"/>
  <c r="F10" i="1"/>
  <c r="F137" i="1"/>
  <c r="G137" i="1"/>
  <c r="H137" i="1"/>
  <c r="G136" i="1"/>
  <c r="H136" i="1"/>
  <c r="H220" i="1"/>
  <c r="G220" i="1"/>
  <c r="F220" i="1"/>
  <c r="E186" i="1"/>
  <c r="E179" i="1"/>
  <c r="E168" i="1"/>
  <c r="E159" i="1"/>
  <c r="E157" i="1"/>
  <c r="E154" i="1"/>
  <c r="E151" i="1"/>
  <c r="E150" i="1"/>
  <c r="E104" i="1"/>
  <c r="E94" i="1"/>
  <c r="E84" i="1"/>
  <c r="E58" i="1"/>
  <c r="E54" i="1"/>
  <c r="E139" i="1" s="1"/>
  <c r="E30" i="1"/>
  <c r="E16" i="1"/>
  <c r="E24" i="1"/>
  <c r="G135" i="1" l="1"/>
  <c r="E175" i="1"/>
  <c r="E135" i="1"/>
  <c r="E174" i="1"/>
  <c r="H135" i="1"/>
  <c r="E18" i="3"/>
  <c r="F144" i="1"/>
  <c r="F18" i="3"/>
  <c r="G144" i="1"/>
  <c r="G18" i="3"/>
  <c r="H144" i="1"/>
  <c r="F135" i="1"/>
  <c r="E118" i="1"/>
  <c r="E87" i="1"/>
  <c r="E44" i="1"/>
  <c r="E136" i="1" s="1"/>
  <c r="E36" i="1"/>
  <c r="E143" i="1" s="1"/>
  <c r="F175" i="1"/>
  <c r="G175" i="1"/>
  <c r="H175" i="1"/>
  <c r="E11" i="3"/>
  <c r="F11" i="3"/>
  <c r="G11" i="3"/>
  <c r="D11" i="3"/>
  <c r="F21" i="3"/>
  <c r="G21" i="3"/>
  <c r="F20" i="3"/>
  <c r="G20" i="3"/>
  <c r="F19" i="3"/>
  <c r="G19" i="3"/>
  <c r="F17" i="3" a="1"/>
  <c r="F17" i="3" s="1"/>
  <c r="G17" i="3" a="1"/>
  <c r="G17" i="3" s="1"/>
  <c r="F16" i="3"/>
  <c r="G16" i="3"/>
  <c r="E17" i="3" a="1"/>
  <c r="E17" i="3" s="1"/>
  <c r="E19" i="3"/>
  <c r="E20" i="3"/>
  <c r="E21" i="3"/>
  <c r="F13" i="3"/>
  <c r="G13" i="3"/>
  <c r="F10" i="3" a="1"/>
  <c r="F10" i="3" s="1"/>
  <c r="G10" i="3" a="1"/>
  <c r="G10" i="3" s="1"/>
  <c r="F9" i="3"/>
  <c r="G9" i="3"/>
  <c r="E16" i="3"/>
  <c r="E13" i="3"/>
  <c r="E10" i="3" a="1"/>
  <c r="E10" i="3" s="1"/>
  <c r="E9" i="3"/>
  <c r="D17" i="3" a="1"/>
  <c r="D17" i="3" s="1"/>
  <c r="D16" i="3"/>
  <c r="D10" i="3" a="1"/>
  <c r="D10" i="3" s="1"/>
  <c r="D9" i="3"/>
  <c r="G23" i="3"/>
  <c r="H218" i="1"/>
  <c r="H216" i="1" s="1"/>
  <c r="H194" i="1"/>
  <c r="H191" i="1" s="1"/>
  <c r="D20" i="3" l="1"/>
  <c r="D21" i="3"/>
  <c r="G8" i="3"/>
  <c r="H133" i="1"/>
  <c r="H174" i="1"/>
  <c r="H172" i="1" s="1"/>
  <c r="H140" i="1"/>
  <c r="F194" i="1" l="1"/>
  <c r="F191" i="1" s="1"/>
  <c r="G194" i="1"/>
  <c r="G191" i="1" s="1"/>
  <c r="E23" i="3"/>
  <c r="F23" i="3"/>
  <c r="D23" i="3"/>
  <c r="G133" i="1"/>
  <c r="F133" i="1"/>
  <c r="E138" i="1" l="1"/>
  <c r="E180" i="1"/>
  <c r="E184" i="1"/>
  <c r="E188" i="1"/>
  <c r="E197" i="1"/>
  <c r="E213" i="1" s="1"/>
  <c r="E218" i="1"/>
  <c r="E216" i="1" s="1"/>
  <c r="F218" i="1"/>
  <c r="F216" i="1" s="1"/>
  <c r="G218" i="1"/>
  <c r="G216" i="1" s="1"/>
  <c r="G215" i="1"/>
  <c r="E99" i="1"/>
  <c r="E146" i="1" s="1"/>
  <c r="E193" i="1" l="1"/>
  <c r="G174" i="1"/>
  <c r="G172" i="1" s="1"/>
  <c r="E172" i="1"/>
  <c r="D19" i="3"/>
  <c r="D14" i="3" s="1"/>
  <c r="E140" i="1"/>
  <c r="E133" i="1"/>
  <c r="D8" i="3"/>
  <c r="H215" i="1"/>
  <c r="H219" i="1" s="1"/>
  <c r="E8" i="3"/>
  <c r="F8" i="3"/>
  <c r="D13" i="3"/>
  <c r="F172" i="1"/>
  <c r="E194" i="1"/>
  <c r="G140" i="1"/>
  <c r="F140" i="1"/>
  <c r="E191" i="1" l="1"/>
  <c r="E219" i="1" s="1"/>
  <c r="D6" i="3"/>
  <c r="D22" i="3" s="1"/>
  <c r="G219" i="1" l="1"/>
  <c r="H221" i="1" l="1"/>
  <c r="G24" i="3" s="1"/>
  <c r="G6" i="3"/>
  <c r="G14" i="3"/>
  <c r="E14" i="3"/>
  <c r="E6" i="3"/>
  <c r="F219" i="1"/>
  <c r="F221" i="1" s="1"/>
  <c r="E24" i="3" s="1"/>
  <c r="G221" i="1" l="1"/>
  <c r="F24" i="3" s="1"/>
  <c r="E22" i="3"/>
  <c r="G22" i="3"/>
  <c r="F14" i="3" l="1"/>
  <c r="F6" i="3"/>
  <c r="F2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Inga Mikalauskienė</author>
  </authors>
  <commentList>
    <comment ref="C63" authorId="0" shapeId="0" xr:uid="{A786B58D-FD79-42B1-8DE7-7888A4682C1E}">
      <text>
        <r>
          <rPr>
            <sz val="11"/>
            <color theme="1"/>
            <rFont val="Calibri"/>
            <family val="2"/>
            <charset val="186"/>
            <scheme val="minor"/>
          </rPr>
          <t>Techninė priežiūra bus vykdoma papriemonėje “Kietųjų dangų (šaligatvių, gatvių, takų) remontas“</t>
        </r>
      </text>
    </comment>
    <comment ref="F159" authorId="0" shapeId="0" xr:uid="{C7DD4165-62D2-4051-95E1-7A2D3E5725B0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2025-08-31 d. baigia galioti miesto maršrutų aptarnavimo sutartys, todėl lėšų poreikis dėl naudojamų transporto priemonių pakeitimo ekologiškomis viešojo transporto priemonėmis teikiamas už laikotarpį 2025 m. 01-08 mėn.					
</t>
        </r>
      </text>
    </comment>
    <comment ref="G168" authorId="0" shapeId="0" xr:uid="{E79A3E93-DEAA-47ED-AB58-2075A57E211B}">
      <text>
        <r>
          <rPr>
            <sz val="11"/>
            <color theme="1"/>
            <rFont val="Calibri"/>
            <family val="2"/>
            <charset val="186"/>
            <scheme val="minor"/>
          </rPr>
          <t>Autobusų sustojimo įvažų (2 vnt.) įrengimas Šiaurės prospekte šalia Pievų g. sankryžos Klaipėdoje (prie Valstybės įmonės „Regitra“)</t>
        </r>
      </text>
    </comment>
    <comment ref="F182" authorId="0" shapeId="0" xr:uid="{C7DA7B61-CB8D-4709-8109-81904FB21B1D}">
      <text>
        <r>
          <rPr>
            <sz val="11"/>
            <color theme="1"/>
            <rFont val="Calibri"/>
            <family val="2"/>
            <charset val="186"/>
            <scheme val="minor"/>
          </rPr>
          <t>1.Šiaurės pr. 
2.Lelijų g. ir Kuosų g. sankryžoje.
3. Lelijų ir Birutės g. sankryžoje.
4. Lelijų g., Alyvų g. sankryžoje
5. Šalia Vingio g. 19.
6. Šalia Vingio g. 37.</t>
        </r>
      </text>
    </comment>
    <comment ref="C200" authorId="0" shapeId="0" xr:uid="{0E7EBFBB-05F9-4F93-9A34-3318BD54BAF6}">
      <text>
        <r>
          <rPr>
            <sz val="11"/>
            <color theme="1"/>
            <rFont val="Calibri"/>
            <family val="2"/>
            <charset val="186"/>
            <scheme val="minor"/>
          </rPr>
          <t>Kompleksiškas Taikos pr. – Tiltų g.– H. Manto g.–Liepojos g. ruožo sutvarkymas, įskaitant šviesoforų valdymą, dviračių ir pėsčiųjų takus, šaligatvių dangas, nuovažas, apšvietimą.</t>
        </r>
      </text>
    </comment>
    <comment ref="C206" authorId="0" shapeId="0" xr:uid="{AD9AC688-395A-42A8-9668-8637D11BA5F5}">
      <text>
        <r>
          <rPr>
            <sz val="11"/>
            <color theme="1"/>
            <rFont val="Calibri"/>
            <family val="2"/>
            <charset val="186"/>
            <scheme val="minor"/>
          </rPr>
          <t>Kompleksiškas Šilutės pl. ruožo nuo Baltijos pr. iki Smiltelės sutvarkymas, įskaitant šviesoforų valdymą, dviračių ir pėsčiųjų takus, šaligatvių dangas, nuovažas, apšvietimą.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<sst xmlns="http://schemas.openxmlformats.org/spreadsheetml/2006/main" count="420" uniqueCount="233">
  <si>
    <t xml:space="preserve">Aiškinamojo rašto </t>
  </si>
  <si>
    <t>1 priedas</t>
  </si>
  <si>
    <t>3 lentelė. Klaipėdos miesto savivaldybės 2024–2027 metų 006 Susisiekimo sistemos priežiūros ir plėtros programos uždaviniai, priemonės, asignavimai ir kitos lėšos (tūkst. eurų)</t>
  </si>
  <si>
    <t>Programos uždavinio, priemonės kodas ir požymis</t>
  </si>
  <si>
    <t>Uždavinio, priemonės pavadinimas, finansavimo šaltiniai</t>
  </si>
  <si>
    <t>Vykdytojas (padalinys / asmuo)</t>
  </si>
  <si>
    <t>2024 metų asignavimai ir kitos lėšos</t>
  </si>
  <si>
    <t>2025 metų asignavimai ir kitos lėšos</t>
  </si>
  <si>
    <t>2026 metų asignavimai ir kitos lėšos</t>
  </si>
  <si>
    <t>2027 metų asignavimai ir kitos lėšos</t>
  </si>
  <si>
    <t>Savivaldybės strateginio plėtros plano priemonės kodas</t>
  </si>
  <si>
    <t>006-01 (T)</t>
  </si>
  <si>
    <t>Uždavinys: Rekonstruoti, tiesti ir prižiūrėti gatves</t>
  </si>
  <si>
    <t>006-01-01 (TP)</t>
  </si>
  <si>
    <t>Priemonė: Gatvių tiesimas ir rekonstravimas</t>
  </si>
  <si>
    <t>006-01-01-01</t>
  </si>
  <si>
    <t>Baltijos pr. ir Šilutės pl. žiedinės sankryžos rekonstravimas ir A1 magistralinio kelio remontas</t>
  </si>
  <si>
    <t xml:space="preserve">MVPD
Statybos skyrius
</t>
  </si>
  <si>
    <t>3.1.3.1.</t>
  </si>
  <si>
    <t xml:space="preserve">Savivaldybės biudžeto lėšos (nuosavos, be ankstesnių metų likučio) </t>
  </si>
  <si>
    <t>Lietuvos Respublikos valstybės biudžeto dotacijos</t>
  </si>
  <si>
    <t>Ankstesnių metų likučiai</t>
  </si>
  <si>
    <t>Kiti šaltiniai (valstybės biudžeto lėšos)</t>
  </si>
  <si>
    <t>Kiti šaltiniai (kiti finansavimo šaltiniai)</t>
  </si>
  <si>
    <t>Klaipėdos miesto Lypkių g. tiesimas nuo Lypkių g.  ir Kretainio g. sankryžos iki Šilutės pl. ir Statybininkų pr. sankryžos</t>
  </si>
  <si>
    <t>Kiti šaltiniai (KVJUD)</t>
  </si>
  <si>
    <t>Darnaus judumo priemonių diegimas Klaipėdos mieste</t>
  </si>
  <si>
    <t>Projektų skyrius</t>
  </si>
  <si>
    <t>3.2.2.3.</t>
  </si>
  <si>
    <t>Europos Sąjungos ir kitos tarptautinės finansinės paramos lėšos</t>
  </si>
  <si>
    <t xml:space="preserve">Teatro ir Sukilėlių g. rekonstrukcija </t>
  </si>
  <si>
    <t>006-01-01-02</t>
  </si>
  <si>
    <t>Danės g. rekonstravimas nuo Laivų skg. iki Artojų g.</t>
  </si>
  <si>
    <t>MVPD
Statybos skyrius</t>
  </si>
  <si>
    <t>3.1.3.5.</t>
  </si>
  <si>
    <t>Kiti šaltiniai (KPP)</t>
  </si>
  <si>
    <t>006-01-01-03</t>
  </si>
  <si>
    <t>Mėgėjų sodų teritorijoje savivaldybės institucijų valdomų kelių remontas</t>
  </si>
  <si>
    <t>3.1.3.4.</t>
  </si>
  <si>
    <t>006-01-01-04</t>
  </si>
  <si>
    <t>Klaipėdos miesto gatvių rekonstravimas bendromis savivaldybės ir privačių asmenų lėšomis</t>
  </si>
  <si>
    <t>3.1.3.4.
3.2.2.2.</t>
  </si>
  <si>
    <t>006-01-01-05</t>
  </si>
  <si>
    <t>Žvejybos produktų iškrovimo vietos įrengimas</t>
  </si>
  <si>
    <t>006-01-01-06</t>
  </si>
  <si>
    <t>Medžiagų tyrimas ir kontroliniai bandymai, topografinių nuotraukų, išpildomųjų geodezinių nuotraukų įsigijimas, statinių projektų ekspertizių, inžinerinės bei želdinių tvarkymo paslaugos</t>
  </si>
  <si>
    <t>006-01-01-07</t>
  </si>
  <si>
    <t>Ištisinio asfaltbetonio dangos remontas</t>
  </si>
  <si>
    <t>MVPD
Aplinkosaugos ir miesto tvarkymo skyrius</t>
  </si>
  <si>
    <t>006-01-01-08</t>
  </si>
  <si>
    <t xml:space="preserve">Kietųjų dangų (šaligatvių, gatvių, takų) remontas </t>
  </si>
  <si>
    <t>Tako prie „Meridiano“ krantinės sutvarkymas</t>
  </si>
  <si>
    <t>006-01-01-09</t>
  </si>
  <si>
    <t>Sportininkų gatvės šaligatvių kapitalinis remontas</t>
  </si>
  <si>
    <t>Skolintos lėšos</t>
  </si>
  <si>
    <t>006-01-01-10</t>
  </si>
  <si>
    <t>006-01-01-11</t>
  </si>
  <si>
    <t>Tiltų ir kelio statinių priežiūra</t>
  </si>
  <si>
    <t xml:space="preserve">006-01-01-12
</t>
  </si>
  <si>
    <t>Biržos tilto kapitalinis remontas</t>
  </si>
  <si>
    <t>Paprastojo remonto ir priežiūros darbų techninė priežiūra bei užbaigimo deklaracijos ekspertizių paslaugos</t>
  </si>
  <si>
    <t>Jaunystės g. ir privažiuojamojo kelio (įskaitant sankryžą) bei Rūko g. kapitalinis remontas</t>
  </si>
  <si>
    <t>006-01-01-13</t>
  </si>
  <si>
    <t xml:space="preserve">Klaipėdos miesto žvyruotų gatvių kapitalinis remontas </t>
  </si>
  <si>
    <t>006-01-01-14</t>
  </si>
  <si>
    <t>Įvažiuojamųjų kelių atnaujinimas ir įrengimas</t>
  </si>
  <si>
    <t>3.2.2.2.</t>
  </si>
  <si>
    <t>006-01-01-15</t>
  </si>
  <si>
    <t>Dubliuojančios gatvės nuo Šiltnamių g. iki Klaipėdos g. su pėsčiųjų ir dviračių taku ir įvažomis į Liepojos g. įrengimas</t>
  </si>
  <si>
    <t>Papildomos eismo juostos ir pėsčiųjų saugumo salelės Mogiliovo gatvėje įrengimas</t>
  </si>
  <si>
    <t>006-01-01-16</t>
  </si>
  <si>
    <t>Aukštosios g. rekonstrukcija</t>
  </si>
  <si>
    <t>006-01-01-17</t>
  </si>
  <si>
    <t>Paryžiaus Komunos g. kapitalinis remontas (nuo Šilutės pl. iki Taikos pr.)</t>
  </si>
  <si>
    <t>006-01-01-18</t>
  </si>
  <si>
    <t>Smiltynės g. ir kranto tvirtinimo kapitalinis remontas nuo Jūrų muziejaus iki Senosios Smiltynės perkėlos</t>
  </si>
  <si>
    <t>1.2.1.1.</t>
  </si>
  <si>
    <t>Žaliosios energijos infrastruktūros įrengimas žemės sklype Pramonės g. 31, Klaipėdoje</t>
  </si>
  <si>
    <t xml:space="preserve">MVPD 
Statybos skyrius,
Projektų skyrius </t>
  </si>
  <si>
    <t>1.1.1.5.</t>
  </si>
  <si>
    <t>006-01-01-19</t>
  </si>
  <si>
    <t>Privažiuojamojo kelio prie pastato Debreceno g. 48 įrengimas ir pastato aplinkos sutvarkymas</t>
  </si>
  <si>
    <t>MVPD Statybos skyrius</t>
  </si>
  <si>
    <t>3.1.3.6.</t>
  </si>
  <si>
    <t>006-01-01-20</t>
  </si>
  <si>
    <t>Joniškės g. saugumo pagerinimo priemonių, autobusų sustojimo įvažos, pėsčiųjų ir dviračio tako jungties su Žemaičių g. įrengimas</t>
  </si>
  <si>
    <t>006-01-01-21</t>
  </si>
  <si>
    <t>Šilutės pl. ruožo (nuo Rimkų geležinkelio iki Smiltelės g.) Klaipėdoje ir aikštelės ties Jūrininkų pr. kapitalinis remontas</t>
  </si>
  <si>
    <t>Pajūrio g. rekonstravimas</t>
  </si>
  <si>
    <t>006-01-01-22</t>
  </si>
  <si>
    <t xml:space="preserve">Kelio ruožo (jungties) nuo Tauralaukio iki miesto ribos ties Aukštkiemių kaimu (su dviračių taku) įrengimas </t>
  </si>
  <si>
    <t>006-01-01-23</t>
  </si>
  <si>
    <t>Šaligatvių įrengimas Tauralaukio mikrorajone</t>
  </si>
  <si>
    <t>006-01-01-24</t>
  </si>
  <si>
    <t>Bastionų g. ir naujo tilto per Danės upę įrengimas</t>
  </si>
  <si>
    <t>3.1.3.5</t>
  </si>
  <si>
    <t>Žvejybos produktų iškrovimo vietos prie jūros Klaipėdos miesto teritorijoje įrengimas</t>
  </si>
  <si>
    <t>006-01-01-25</t>
  </si>
  <si>
    <t>Privažiuojamojo kelio įrengimas prie „Vyturio“ progimnazijos</t>
  </si>
  <si>
    <t xml:space="preserve">MVPD
Statybos skyrius
</t>
  </si>
  <si>
    <t>006-01-01-26</t>
  </si>
  <si>
    <t>Kelio Nr. KL1277 į Kairių poligoną ruožo remonto darbai</t>
  </si>
  <si>
    <t>006-01-01-27</t>
  </si>
  <si>
    <t>Privažiuojamojo kelio (gatvės) atkarpos Nr. KL1278 nuo Kairių gatvės Klaipėdos mieste iki Kairių poligono kapitalinio remonto darbai</t>
  </si>
  <si>
    <t>006-01-01-28</t>
  </si>
  <si>
    <t>Senosios Smiltelės g. kapitalinis remontas</t>
  </si>
  <si>
    <t> </t>
  </si>
  <si>
    <t>006-01-01-29</t>
  </si>
  <si>
    <t>Naujosios Sodo g. ir Naujojo Uosto g. sankryžos rekonstravimas</t>
  </si>
  <si>
    <t>006-01-01-30</t>
  </si>
  <si>
    <t xml:space="preserve">Liepų g. ir Dovo Zauniaus g. sankryžos įrengimas </t>
  </si>
  <si>
    <t>Savivaldybės biudžetas (įskaitant skolintas lėšas)</t>
  </si>
  <si>
    <t>Iš jo:</t>
  </si>
  <si>
    <t xml:space="preserve">Savivaldybės biudžeto lėšos (nuosavos, be ankstesnių metų likučio)' </t>
  </si>
  <si>
    <t>Lietuvos Respublikos valstybės biudžeto dotacijos'</t>
  </si>
  <si>
    <t>Europos Sąjungos ir kitos tarptautinės finansinės paramos lėšos'</t>
  </si>
  <si>
    <t>Ankstesnių metų likučiai'</t>
  </si>
  <si>
    <t>Skolintos lėšos'</t>
  </si>
  <si>
    <t xml:space="preserve">Kiti šaltiniai </t>
  </si>
  <si>
    <t>Iš jų:</t>
  </si>
  <si>
    <t>Kiti šaltiniai (KPP)'</t>
  </si>
  <si>
    <t>Kiti šaltiniai (kiti finansavimo šaltiniai)'</t>
  </si>
  <si>
    <t>Kiti šaltiniai (KVJUD)'</t>
  </si>
  <si>
    <t>Kiti šaltiniai (Europos Sąjungos paramos lėšos)'</t>
  </si>
  <si>
    <t>Kiti šaltiniai (valstybės biudžeto lėšos)'</t>
  </si>
  <si>
    <t>006-02 (T)</t>
  </si>
  <si>
    <t>Uždavinys: Užtikrinti patogios viešojo transporto sistemos funkcionavimą</t>
  </si>
  <si>
    <t>006-02-01 (TP)</t>
  </si>
  <si>
    <t>Priemonė: Viešojo transporto paslaugų organizavimas</t>
  </si>
  <si>
    <t>006-02-01-01</t>
  </si>
  <si>
    <t>Transporto kompensacijų mokėjimas</t>
  </si>
  <si>
    <t>MVPD
Transporto skyrius</t>
  </si>
  <si>
    <t>006-02-01-02</t>
  </si>
  <si>
    <t>Nuostolių, patirtų vykdant keleivinio kelių transporto viešųjų paslaugų vežant keleivius vietinio (miesto) reguliaraus susisiekimo autobusų maršrutais, kompensavimas</t>
  </si>
  <si>
    <t>Nuostolių, patirtų įgyvendinant ES Sanglaudos fondų finansuojamus ekologiškų viešojo transporto  priemonių įsigijimo projektus, kompensavimas</t>
  </si>
  <si>
    <t>006-02-01-03</t>
  </si>
  <si>
    <t>Nuostolių, patirtų dėl naudojamų transporto priemonių pakeitimo ekologiškomis viešojo transporto priemonėmis, kompensavimas</t>
  </si>
  <si>
    <t>006-02-01-04</t>
  </si>
  <si>
    <t>Viešojo transporto priežiūros ir paslaugų kokybės kontroliavimas</t>
  </si>
  <si>
    <t>006-02-01-05</t>
  </si>
  <si>
    <t>Nuostolingų maršrutų subsidijavimas priemiesčio ir miesto maršrutus aptarnaujantiems vežėjams</t>
  </si>
  <si>
    <t>006-02-01-06</t>
  </si>
  <si>
    <t>Klaipėdos miesto viešojo transporto švieslenčių ir informacinių švieslenčių įrengimas ir atnaujinimas</t>
  </si>
  <si>
    <t>006-02-01-07</t>
  </si>
  <si>
    <t>Keleivinio transporto stotelių su įvažomis Klaipėdos miesto gatvėse projektavimas ir įrengimas</t>
  </si>
  <si>
    <t>3.1.2.2.</t>
  </si>
  <si>
    <t>UAB „Klaipėdos paslaugos“ įstatinio kapitalo didinimas  (elektra varomų autobusų įsigijimas (prisidėjimas)</t>
  </si>
  <si>
    <t>Turto valdymo skyrius</t>
  </si>
  <si>
    <t>006-03 (T)</t>
  </si>
  <si>
    <t xml:space="preserve">Uždavinys: Diegti eismo srautų reguliavimo ir saugumo priemones </t>
  </si>
  <si>
    <t>006-03-01 (TP)</t>
  </si>
  <si>
    <t>Priemonė: Eismo srautų reguliavimo ir saugumo priemonių įgyvendinimas</t>
  </si>
  <si>
    <t>006-03-01-01</t>
  </si>
  <si>
    <t>Eismo reguliavimo infrastruktūros eksploatacija ir įrengimas</t>
  </si>
  <si>
    <t xml:space="preserve">3.1.3.6
</t>
  </si>
  <si>
    <t>006-03-01-02</t>
  </si>
  <si>
    <t xml:space="preserve">Klaipėdos miesto gatvių pėsčiųjų perėjų kryptinis apšvietimas </t>
  </si>
  <si>
    <t>3.1.3.7.</t>
  </si>
  <si>
    <t>006-03-01-03</t>
  </si>
  <si>
    <t>Mokamo automobilių stovėjimo sistemos mieste kūrimas ir išlaikymas</t>
  </si>
  <si>
    <t>3.1.1.5.</t>
  </si>
  <si>
    <t>006-03-01-04</t>
  </si>
  <si>
    <t>Automatinės eismo priežiūros prietaisų eksploatacija ir įrengimas</t>
  </si>
  <si>
    <t>AD
Administracinės veiklos, kontrolės ir prevencijos skyrius</t>
  </si>
  <si>
    <t>2.4.3.5.</t>
  </si>
  <si>
    <t>006-03-01-05</t>
  </si>
  <si>
    <t>Eismo tyrimai (auditai, juodosios dėmės, srautai ir pan.)</t>
  </si>
  <si>
    <t>006-03-01-06</t>
  </si>
  <si>
    <t>Išmanios automobilių statymo sistemos įdiegimas</t>
  </si>
  <si>
    <t>006-03-02 (PP)</t>
  </si>
  <si>
    <t>Priemonė: Darnaus judumo projektų įgyvendinimas</t>
  </si>
  <si>
    <t>006-03-02-01</t>
  </si>
  <si>
    <t xml:space="preserve">Transporto (eismo) valdymo sistemos diegimas: valdymo sistemos su viešojo transporto prioritetu programinės įrangos diegimas ir priežiūros paslaugos </t>
  </si>
  <si>
    <t xml:space="preserve">3.1.3.3.
</t>
  </si>
  <si>
    <t>Klaipėdos miestui priklausančių elektromobilių įkrovimo stotelių eksploatavimas ir priežiūra</t>
  </si>
  <si>
    <t>3.1.1.1.</t>
  </si>
  <si>
    <t>006-03-02-02 (RP)</t>
  </si>
  <si>
    <t xml:space="preserve">Darnaus judumo priemonių įgyvendinimas Taikos pr.                                </t>
  </si>
  <si>
    <t>3.1.3.3.</t>
  </si>
  <si>
    <t xml:space="preserve">MVPD
Transporto skyrius
</t>
  </si>
  <si>
    <t>Kiti šaltiniai (Europos Sąjungos paramos lėšos)</t>
  </si>
  <si>
    <t>006-03-02-03 (RP)</t>
  </si>
  <si>
    <t>Darnaus judumo priemonių įgyvendinimas Šilutės pl.</t>
  </si>
  <si>
    <t xml:space="preserve">Projektų skyrius
</t>
  </si>
  <si>
    <t xml:space="preserve">IŠ VISO programai finansuoti pagal finansavimo šaltinius </t>
  </si>
  <si>
    <t>Iš jų: regioninių pažangos priemonių lėšos</t>
  </si>
  <si>
    <t>Asignavimų ir kitų lėšų pokytis, palyginti su ankstesnių metų patvirtintų asignavimų ir kitų lėšų planu</t>
  </si>
  <si>
    <t xml:space="preserve">T – tęstinės veiklos uždavinys. </t>
  </si>
  <si>
    <t>P – pažangos uždavinys.</t>
  </si>
  <si>
    <t>TP – tęstinės veiklos priemonė.</t>
  </si>
  <si>
    <t>PP – pažangos priemonė.</t>
  </si>
  <si>
    <t>RP – regioninė pažangos priemonė.</t>
  </si>
  <si>
    <t>MVPD – Miesto vystymo ir priežiūros departamentas.</t>
  </si>
  <si>
    <t xml:space="preserve">AD – Administravimo departamentas. </t>
  </si>
  <si>
    <t>2 lentelė.  2024–2027 metų asignavimų ir kitų lėšų pasiskirstymas (tūkst. Eur)</t>
  </si>
  <si>
    <t>Eil. Nr.</t>
  </si>
  <si>
    <t>Programos kodas ir pavadinimas</t>
  </si>
  <si>
    <t>2024 m. asignavimai ir kitos lėšos</t>
  </si>
  <si>
    <t>2025 m. asignavimai ir kitos lėšos</t>
  </si>
  <si>
    <t>2026 m. asignavimai ir kitos lėšos</t>
  </si>
  <si>
    <t>2027 m. asignavimai ir kitos lėšos</t>
  </si>
  <si>
    <t>006 Susisiekimo sistemos priežiūros ir plėtros programa</t>
  </si>
  <si>
    <t>1.</t>
  </si>
  <si>
    <r>
      <rPr>
        <sz val="10"/>
        <color rgb="FF000000"/>
        <rFont val="Times New Roman"/>
        <family val="1"/>
        <charset val="186"/>
      </rPr>
      <t xml:space="preserve">Iš jo:
</t>
    </r>
    <r>
      <rPr>
        <b/>
        <sz val="10"/>
        <color rgb="FF000000"/>
        <rFont val="Times New Roman"/>
        <family val="1"/>
        <charset val="186"/>
      </rPr>
      <t xml:space="preserve">
</t>
    </r>
  </si>
  <si>
    <t>1.1.</t>
  </si>
  <si>
    <t>savivaldybės biudžeto lėšos (nuosavos, be ankstesnių metų likučio)</t>
  </si>
  <si>
    <t>1.2.</t>
  </si>
  <si>
    <t>1.3.</t>
  </si>
  <si>
    <t>pajamų įmokos ir kitos pajamos</t>
  </si>
  <si>
    <t>1.4.</t>
  </si>
  <si>
    <t>1.5.</t>
  </si>
  <si>
    <t>skolintos lėšos</t>
  </si>
  <si>
    <t>1.6.</t>
  </si>
  <si>
    <t>ankstesnių metų likučiai</t>
  </si>
  <si>
    <t>2.</t>
  </si>
  <si>
    <t>Kiti šaltiniai (Europos Sąjungos finansinė parama projektams įgyvendinti ir kitos teisėtai gautos lėšos, nurodant atskirus šaltinius)</t>
  </si>
  <si>
    <t>2.1.</t>
  </si>
  <si>
    <t>Europos Sąjungos paramos lėšos</t>
  </si>
  <si>
    <t>2.2.</t>
  </si>
  <si>
    <t>Privalomojo sveikatos draudimo fondo lėšos</t>
  </si>
  <si>
    <t>2.3.</t>
  </si>
  <si>
    <t>Klaipėdos valstybinio jūrų uosto direkcijos lėšos (KVJUD)</t>
  </si>
  <si>
    <t>2.4.</t>
  </si>
  <si>
    <t>Valstybės biudžeto lėšos (LRVB)</t>
  </si>
  <si>
    <t>2.5.</t>
  </si>
  <si>
    <t>Kiti finansavimo šaltiniai</t>
  </si>
  <si>
    <t>2.6.</t>
  </si>
  <si>
    <t>Kelių priežiūros ir plėtros programos lėšos (KPP)</t>
  </si>
  <si>
    <r>
      <rPr>
        <b/>
        <sz val="10"/>
        <color rgb="FF000000"/>
        <rFont val="Times New Roman"/>
        <family val="1"/>
        <charset val="186"/>
      </rPr>
      <t>IŠ VISO</t>
    </r>
    <r>
      <rPr>
        <sz val="10"/>
        <color rgb="FF000000"/>
        <rFont val="Times New Roman"/>
        <family val="1"/>
        <charset val="186"/>
      </rPr>
      <t xml:space="preserve"> programai finansuoti pagal finansavimo šaltinius </t>
    </r>
    <r>
      <rPr>
        <i/>
        <sz val="10"/>
        <color rgb="FF000000"/>
        <rFont val="Times New Roman"/>
        <family val="1"/>
        <charset val="186"/>
      </rPr>
      <t>(1 ir 2 punktai)</t>
    </r>
  </si>
  <si>
    <r>
      <rPr>
        <sz val="10"/>
        <rFont val="Times New Roman"/>
        <family val="1"/>
        <charset val="186"/>
      </rPr>
      <t>MVPD</t>
    </r>
    <r>
      <rPr>
        <b/>
        <sz val="10"/>
        <rFont val="Times New Roman"/>
        <family val="1"/>
      </rPr>
      <t xml:space="preserve"> 
</t>
    </r>
    <r>
      <rPr>
        <sz val="10"/>
        <rFont val="Times New Roman"/>
        <family val="1"/>
        <charset val="186"/>
      </rPr>
      <t>Aplinkosaugos ir miesto tvarkymo skyrius</t>
    </r>
    <r>
      <rPr>
        <b/>
        <sz val="10"/>
        <rFont val="Times New Roman"/>
        <family val="1"/>
        <charset val="186"/>
      </rPr>
      <t xml:space="preserve">, 
</t>
    </r>
    <r>
      <rPr>
        <sz val="10"/>
        <rFont val="Times New Roman"/>
        <family val="1"/>
        <charset val="186"/>
      </rPr>
      <t>BĮ „Klaipėdos paplūdimiai“</t>
    </r>
  </si>
  <si>
    <t>Požeminės perėjos uždarymas Vingio g.</t>
  </si>
  <si>
    <t xml:space="preserve">MVPD 
Statybos skyrius </t>
  </si>
  <si>
    <t xml:space="preserve">UAD 
Urbanistikos skyrius, 
MVPD
Statybos skyrius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</si>
</sst>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8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  <charset val="186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0"/>
      <color rgb="FF000000"/>
      <name val="Times New Roman"/>
      <family val="1"/>
    </font>
    <font>
      <sz val="10"/>
      <color rgb="FF0070C0"/>
      <name val="Times New Roman"/>
      <family val="1"/>
      <charset val="186"/>
    </font>
    <font>
      <sz val="8"/>
      <color theme="1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sz val="10"/>
      <color rgb="FFFF0000"/>
      <name val="Times New Roman"/>
      <family val="1"/>
    </font>
    <font>
      <b/>
      <sz val="10"/>
      <name val="Times New Roman"/>
    </font>
    <font>
      <sz val="10"/>
      <color rgb="FFFF0000"/>
      <name val="Times New Roman"/>
    </font>
    <font>
      <b/>
      <sz val="10"/>
      <color rgb="FF000000"/>
      <name val="Times New Roman"/>
    </font>
    <font>
      <strike/>
      <sz val="10"/>
      <color theme="1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30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top" wrapText="1"/>
    </xf>
    <xf numFmtId="165" fontId="6" fillId="3" borderId="1" xfId="0" applyNumberFormat="1" applyFont="1" applyFill="1" applyBorder="1" applyAlignment="1">
      <alignment horizontal="center" vertical="top" wrapText="1"/>
    </xf>
    <xf numFmtId="165" fontId="1" fillId="6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justify" vertical="top" wrapText="1"/>
    </xf>
    <xf numFmtId="0" fontId="1" fillId="5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justify" vertical="center" wrapText="1"/>
    </xf>
    <xf numFmtId="0" fontId="1" fillId="6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65" fontId="6" fillId="0" borderId="1" xfId="0" applyNumberFormat="1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164" fontId="1" fillId="6" borderId="1" xfId="0" applyNumberFormat="1" applyFont="1" applyFill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top" wrapText="1"/>
    </xf>
    <xf numFmtId="164" fontId="1" fillId="5" borderId="1" xfId="0" applyNumberFormat="1" applyFont="1" applyFill="1" applyBorder="1" applyAlignment="1">
      <alignment horizontal="center" vertical="top" wrapText="1"/>
    </xf>
    <xf numFmtId="164" fontId="1" fillId="6" borderId="7" xfId="0" applyNumberFormat="1" applyFont="1" applyFill="1" applyBorder="1" applyAlignment="1">
      <alignment horizontal="center" vertical="top" wrapText="1"/>
    </xf>
    <xf numFmtId="164" fontId="6" fillId="0" borderId="7" xfId="0" applyNumberFormat="1" applyFont="1" applyBorder="1" applyAlignment="1">
      <alignment horizontal="center" vertical="top" wrapText="1"/>
    </xf>
    <xf numFmtId="164" fontId="5" fillId="4" borderId="1" xfId="0" applyNumberFormat="1" applyFont="1" applyFill="1" applyBorder="1" applyAlignment="1">
      <alignment horizontal="center" vertical="top" wrapText="1"/>
    </xf>
    <xf numFmtId="164" fontId="6" fillId="6" borderId="1" xfId="0" applyNumberFormat="1" applyFont="1" applyFill="1" applyBorder="1" applyAlignment="1">
      <alignment horizontal="center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4" fillId="0" borderId="0" xfId="0" applyFont="1"/>
    <xf numFmtId="0" fontId="10" fillId="0" borderId="0" xfId="0" applyFont="1"/>
    <xf numFmtId="0" fontId="10" fillId="0" borderId="3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165" fontId="10" fillId="0" borderId="9" xfId="0" applyNumberFormat="1" applyFont="1" applyBorder="1" applyAlignment="1">
      <alignment horizontal="center" vertical="top" wrapText="1"/>
    </xf>
    <xf numFmtId="165" fontId="10" fillId="0" borderId="3" xfId="0" applyNumberFormat="1" applyFont="1" applyBorder="1" applyAlignment="1">
      <alignment horizontal="center" vertical="top" wrapText="1"/>
    </xf>
    <xf numFmtId="165" fontId="10" fillId="3" borderId="9" xfId="0" applyNumberFormat="1" applyFont="1" applyFill="1" applyBorder="1" applyAlignment="1">
      <alignment horizontal="center" vertical="top" wrapText="1"/>
    </xf>
    <xf numFmtId="0" fontId="11" fillId="0" borderId="0" xfId="0" applyFont="1"/>
    <xf numFmtId="164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top"/>
    </xf>
    <xf numFmtId="0" fontId="11" fillId="0" borderId="17" xfId="0" applyFont="1" applyBorder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11" fillId="0" borderId="4" xfId="0" applyFont="1" applyBorder="1" applyAlignment="1">
      <alignment horizontal="left" vertical="top"/>
    </xf>
    <xf numFmtId="165" fontId="10" fillId="3" borderId="3" xfId="0" applyNumberFormat="1" applyFont="1" applyFill="1" applyBorder="1" applyAlignment="1">
      <alignment horizontal="center" vertical="top" wrapText="1"/>
    </xf>
    <xf numFmtId="164" fontId="10" fillId="3" borderId="3" xfId="0" applyNumberFormat="1" applyFont="1" applyFill="1" applyBorder="1" applyAlignment="1">
      <alignment horizontal="center" vertical="top" wrapText="1"/>
    </xf>
    <xf numFmtId="164" fontId="10" fillId="3" borderId="9" xfId="0" applyNumberFormat="1" applyFont="1" applyFill="1" applyBorder="1" applyAlignment="1">
      <alignment horizontal="center" vertical="top" wrapText="1"/>
    </xf>
    <xf numFmtId="165" fontId="10" fillId="3" borderId="1" xfId="0" applyNumberFormat="1" applyFont="1" applyFill="1" applyBorder="1" applyAlignment="1">
      <alignment horizontal="center" vertical="top" wrapText="1"/>
    </xf>
    <xf numFmtId="165" fontId="10" fillId="3" borderId="7" xfId="0" applyNumberFormat="1" applyFont="1" applyFill="1" applyBorder="1" applyAlignment="1">
      <alignment horizontal="center" vertical="top" wrapText="1"/>
    </xf>
    <xf numFmtId="164" fontId="10" fillId="3" borderId="1" xfId="0" applyNumberFormat="1" applyFont="1" applyFill="1" applyBorder="1" applyAlignment="1">
      <alignment horizontal="center" vertical="top" wrapText="1"/>
    </xf>
    <xf numFmtId="164" fontId="10" fillId="3" borderId="7" xfId="0" applyNumberFormat="1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vertical="top" wrapText="1"/>
    </xf>
    <xf numFmtId="164" fontId="6" fillId="0" borderId="11" xfId="0" applyNumberFormat="1" applyFont="1" applyBorder="1" applyAlignment="1">
      <alignment horizontal="center" vertical="top" wrapText="1"/>
    </xf>
    <xf numFmtId="164" fontId="1" fillId="4" borderId="3" xfId="0" applyNumberFormat="1" applyFont="1" applyFill="1" applyBorder="1" applyAlignment="1">
      <alignment horizontal="center" vertical="top" wrapText="1"/>
    </xf>
    <xf numFmtId="164" fontId="14" fillId="0" borderId="1" xfId="0" applyNumberFormat="1" applyFont="1" applyBorder="1" applyAlignment="1">
      <alignment horizontal="center" vertical="top" wrapText="1"/>
    </xf>
    <xf numFmtId="164" fontId="11" fillId="0" borderId="2" xfId="0" applyNumberFormat="1" applyFont="1" applyBorder="1" applyAlignment="1">
      <alignment horizontal="center" vertical="top" wrapText="1"/>
    </xf>
    <xf numFmtId="164" fontId="16" fillId="0" borderId="1" xfId="0" applyNumberFormat="1" applyFont="1" applyBorder="1" applyAlignment="1">
      <alignment horizontal="center" vertical="top" wrapText="1"/>
    </xf>
    <xf numFmtId="164" fontId="10" fillId="0" borderId="7" xfId="0" applyNumberFormat="1" applyFont="1" applyBorder="1" applyAlignment="1">
      <alignment horizontal="center" vertical="top" wrapText="1"/>
    </xf>
    <xf numFmtId="164" fontId="10" fillId="0" borderId="9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" fillId="3" borderId="3" xfId="0" applyNumberFormat="1" applyFont="1" applyFill="1" applyBorder="1" applyAlignment="1">
      <alignment horizontal="center" vertical="top" wrapText="1"/>
    </xf>
    <xf numFmtId="0" fontId="5" fillId="0" borderId="0" xfId="0" applyFont="1"/>
    <xf numFmtId="165" fontId="5" fillId="0" borderId="0" xfId="0" applyNumberFormat="1" applyFont="1"/>
    <xf numFmtId="165" fontId="1" fillId="3" borderId="1" xfId="0" applyNumberFormat="1" applyFont="1" applyFill="1" applyBorder="1" applyAlignment="1">
      <alignment horizontal="center" vertical="top" wrapText="1"/>
    </xf>
    <xf numFmtId="164" fontId="10" fillId="0" borderId="0" xfId="0" applyNumberFormat="1" applyFont="1"/>
    <xf numFmtId="165" fontId="10" fillId="0" borderId="0" xfId="0" applyNumberFormat="1" applyFont="1"/>
    <xf numFmtId="0" fontId="4" fillId="3" borderId="1" xfId="0" applyFont="1" applyFill="1" applyBorder="1" applyAlignment="1">
      <alignment horizontal="center" vertical="top" wrapText="1"/>
    </xf>
    <xf numFmtId="164" fontId="4" fillId="3" borderId="1" xfId="0" applyNumberFormat="1" applyFont="1" applyFill="1" applyBorder="1" applyAlignment="1">
      <alignment horizontal="center" vertical="top" wrapText="1"/>
    </xf>
    <xf numFmtId="165" fontId="4" fillId="3" borderId="1" xfId="0" applyNumberFormat="1" applyFont="1" applyFill="1" applyBorder="1" applyAlignment="1">
      <alignment horizontal="center" vertical="top" wrapText="1"/>
    </xf>
    <xf numFmtId="165" fontId="4" fillId="3" borderId="7" xfId="0" applyNumberFormat="1" applyFont="1" applyFill="1" applyBorder="1" applyAlignment="1">
      <alignment horizontal="center" vertical="top" wrapText="1"/>
    </xf>
    <xf numFmtId="0" fontId="3" fillId="0" borderId="1" xfId="0" applyFont="1" applyBorder="1"/>
    <xf numFmtId="165" fontId="3" fillId="0" borderId="0" xfId="0" applyNumberFormat="1" applyFont="1"/>
    <xf numFmtId="0" fontId="8" fillId="0" borderId="0" xfId="0" applyFont="1"/>
    <xf numFmtId="0" fontId="12" fillId="0" borderId="0" xfId="0" applyFont="1" applyAlignment="1">
      <alignment vertical="top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0" fontId="17" fillId="4" borderId="1" xfId="0" applyFont="1" applyFill="1" applyBorder="1" applyAlignment="1">
      <alignment vertical="top" wrapText="1"/>
    </xf>
    <xf numFmtId="0" fontId="17" fillId="5" borderId="1" xfId="0" applyFont="1" applyFill="1" applyBorder="1" applyAlignment="1">
      <alignment vertical="top" wrapText="1"/>
    </xf>
    <xf numFmtId="0" fontId="17" fillId="3" borderId="1" xfId="0" applyFont="1" applyFill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3" borderId="1" xfId="0" applyFont="1" applyFill="1" applyBorder="1" applyAlignment="1">
      <alignment vertical="top"/>
    </xf>
    <xf numFmtId="0" fontId="12" fillId="3" borderId="11" xfId="0" applyFont="1" applyFill="1" applyBorder="1" applyAlignment="1">
      <alignment vertical="top" wrapText="1"/>
    </xf>
    <xf numFmtId="0" fontId="17" fillId="0" borderId="1" xfId="0" applyFont="1" applyBorder="1" applyAlignment="1">
      <alignment vertical="top" wrapText="1"/>
    </xf>
    <xf numFmtId="0" fontId="12" fillId="3" borderId="3" xfId="0" applyFont="1" applyFill="1" applyBorder="1" applyAlignment="1">
      <alignment vertical="top" wrapText="1"/>
    </xf>
    <xf numFmtId="0" fontId="17" fillId="3" borderId="7" xfId="0" applyFont="1" applyFill="1" applyBorder="1" applyAlignment="1">
      <alignment vertical="top" wrapText="1"/>
    </xf>
    <xf numFmtId="0" fontId="12" fillId="3" borderId="9" xfId="0" applyFont="1" applyFill="1" applyBorder="1" applyAlignment="1">
      <alignment vertical="top" wrapText="1"/>
    </xf>
    <xf numFmtId="0" fontId="17" fillId="3" borderId="3" xfId="0" applyFont="1" applyFill="1" applyBorder="1" applyAlignment="1">
      <alignment vertical="top" wrapText="1"/>
    </xf>
    <xf numFmtId="0" fontId="17" fillId="3" borderId="10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7" fillId="6" borderId="1" xfId="0" applyFont="1" applyFill="1" applyBorder="1" applyAlignment="1">
      <alignment vertical="top" wrapText="1"/>
    </xf>
    <xf numFmtId="0" fontId="17" fillId="6" borderId="0" xfId="0" applyFont="1" applyFill="1" applyAlignment="1">
      <alignment vertical="top"/>
    </xf>
    <xf numFmtId="0" fontId="17" fillId="3" borderId="0" xfId="0" applyFont="1" applyFill="1" applyAlignment="1">
      <alignment vertical="top"/>
    </xf>
    <xf numFmtId="0" fontId="17" fillId="3" borderId="1" xfId="0" applyFont="1" applyFill="1" applyBorder="1" applyAlignment="1">
      <alignment vertical="top"/>
    </xf>
    <xf numFmtId="0" fontId="17" fillId="3" borderId="8" xfId="0" applyFont="1" applyFill="1" applyBorder="1" applyAlignment="1">
      <alignment horizontal="left" vertical="top" wrapText="1"/>
    </xf>
    <xf numFmtId="0" fontId="17" fillId="3" borderId="8" xfId="0" applyFont="1" applyFill="1" applyBorder="1" applyAlignment="1">
      <alignment vertical="top" wrapText="1"/>
    </xf>
    <xf numFmtId="0" fontId="17" fillId="3" borderId="6" xfId="0" applyFont="1" applyFill="1" applyBorder="1" applyAlignment="1">
      <alignment vertical="top" wrapText="1"/>
    </xf>
    <xf numFmtId="0" fontId="17" fillId="4" borderId="6" xfId="0" applyFont="1" applyFill="1" applyBorder="1" applyAlignment="1">
      <alignment vertical="top" wrapText="1"/>
    </xf>
    <xf numFmtId="0" fontId="17" fillId="3" borderId="6" xfId="0" applyFont="1" applyFill="1" applyBorder="1" applyAlignment="1">
      <alignment horizontal="left" vertical="top" wrapText="1"/>
    </xf>
    <xf numFmtId="0" fontId="17" fillId="3" borderId="3" xfId="0" applyFont="1" applyFill="1" applyBorder="1" applyAlignment="1">
      <alignment horizontal="left" vertical="top" wrapText="1"/>
    </xf>
    <xf numFmtId="3" fontId="17" fillId="3" borderId="5" xfId="0" applyNumberFormat="1" applyFont="1" applyFill="1" applyBorder="1" applyAlignment="1">
      <alignment vertical="top" wrapText="1"/>
    </xf>
    <xf numFmtId="0" fontId="12" fillId="3" borderId="12" xfId="0" applyFont="1" applyFill="1" applyBorder="1" applyAlignment="1">
      <alignment vertical="top"/>
    </xf>
    <xf numFmtId="0" fontId="17" fillId="3" borderId="15" xfId="0" applyFont="1" applyFill="1" applyBorder="1" applyAlignment="1">
      <alignment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7" xfId="0" applyFont="1" applyBorder="1" applyAlignment="1">
      <alignment vertical="top" wrapText="1"/>
    </xf>
    <xf numFmtId="0" fontId="12" fillId="0" borderId="4" xfId="0" applyFont="1" applyBorder="1" applyAlignment="1">
      <alignment vertical="top"/>
    </xf>
    <xf numFmtId="0" fontId="3" fillId="3" borderId="2" xfId="0" applyFont="1" applyFill="1" applyBorder="1" applyAlignment="1">
      <alignment vertical="top" wrapText="1"/>
    </xf>
    <xf numFmtId="0" fontId="3" fillId="3" borderId="5" xfId="0" applyFont="1" applyFill="1" applyBorder="1" applyAlignment="1">
      <alignment vertical="top" wrapText="1"/>
    </xf>
    <xf numFmtId="0" fontId="14" fillId="0" borderId="19" xfId="0" applyFont="1" applyBorder="1" applyAlignment="1">
      <alignment horizontal="center" vertical="top"/>
    </xf>
    <xf numFmtId="0" fontId="14" fillId="0" borderId="9" xfId="0" applyFont="1" applyBorder="1" applyAlignment="1">
      <alignment horizontal="left" vertical="top" wrapText="1"/>
    </xf>
    <xf numFmtId="164" fontId="14" fillId="0" borderId="3" xfId="0" applyNumberFormat="1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2" fillId="0" borderId="21" xfId="0" applyFont="1" applyBorder="1" applyAlignment="1">
      <alignment vertical="top" wrapText="1"/>
    </xf>
    <xf numFmtId="0" fontId="6" fillId="7" borderId="1" xfId="0" applyFont="1" applyFill="1" applyBorder="1" applyAlignment="1">
      <alignment wrapText="1"/>
    </xf>
    <xf numFmtId="164" fontId="2" fillId="0" borderId="7" xfId="0" applyNumberFormat="1" applyFont="1" applyBorder="1" applyAlignment="1">
      <alignment horizontal="center" vertical="top" wrapText="1"/>
    </xf>
    <xf numFmtId="164" fontId="16" fillId="3" borderId="2" xfId="0" applyNumberFormat="1" applyFont="1" applyFill="1" applyBorder="1" applyAlignment="1">
      <alignment horizontal="center" vertical="top" wrapText="1"/>
    </xf>
    <xf numFmtId="164" fontId="19" fillId="3" borderId="2" xfId="0" applyNumberFormat="1" applyFont="1" applyFill="1" applyBorder="1" applyAlignment="1">
      <alignment horizontal="center" vertical="top" wrapText="1"/>
    </xf>
    <xf numFmtId="164" fontId="19" fillId="0" borderId="1" xfId="0" applyNumberFormat="1" applyFont="1" applyBorder="1" applyAlignment="1">
      <alignment horizontal="center" vertical="top" wrapText="1"/>
    </xf>
    <xf numFmtId="0" fontId="2" fillId="0" borderId="7" xfId="0" applyFont="1" applyBorder="1" applyAlignment="1">
      <alignment horizontal="left" vertical="top" wrapText="1"/>
    </xf>
    <xf numFmtId="0" fontId="10" fillId="3" borderId="13" xfId="0" applyFont="1" applyFill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7" borderId="1" xfId="0" applyFont="1" applyFill="1" applyBorder="1" applyAlignment="1">
      <alignment vertical="top" wrapText="1"/>
    </xf>
    <xf numFmtId="0" fontId="20" fillId="0" borderId="0" xfId="0" applyFont="1"/>
    <xf numFmtId="0" fontId="20" fillId="0" borderId="0" xfId="0" applyFont="1" applyAlignment="1">
      <alignment vertical="top"/>
    </xf>
    <xf numFmtId="0" fontId="5" fillId="0" borderId="0" xfId="0" applyFont="1" applyAlignment="1">
      <alignment vertical="top"/>
    </xf>
    <xf numFmtId="3" fontId="17" fillId="3" borderId="2" xfId="0" applyNumberFormat="1" applyFont="1" applyFill="1" applyBorder="1" applyAlignment="1">
      <alignment vertical="top" wrapText="1"/>
    </xf>
    <xf numFmtId="0" fontId="12" fillId="3" borderId="12" xfId="0" applyFont="1" applyFill="1" applyBorder="1" applyAlignment="1">
      <alignment vertical="top" wrapText="1"/>
    </xf>
    <xf numFmtId="0" fontId="21" fillId="0" borderId="16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16" fillId="0" borderId="7" xfId="0" applyFont="1" applyBorder="1" applyAlignment="1">
      <alignment horizontal="left" vertical="top" wrapText="1"/>
    </xf>
    <xf numFmtId="164" fontId="4" fillId="0" borderId="0" xfId="0" applyNumberFormat="1" applyFont="1"/>
    <xf numFmtId="0" fontId="12" fillId="3" borderId="2" xfId="0" applyFont="1" applyFill="1" applyBorder="1" applyAlignment="1">
      <alignment vertical="top" wrapText="1"/>
    </xf>
    <xf numFmtId="165" fontId="10" fillId="0" borderId="5" xfId="0" applyNumberFormat="1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0" fillId="3" borderId="26" xfId="0" applyFont="1" applyFill="1" applyBorder="1" applyAlignment="1">
      <alignment horizontal="center" vertical="top" wrapText="1"/>
    </xf>
    <xf numFmtId="0" fontId="10" fillId="3" borderId="9" xfId="0" applyFont="1" applyFill="1" applyBorder="1" applyAlignment="1">
      <alignment horizontal="center" vertical="top" wrapText="1"/>
    </xf>
    <xf numFmtId="164" fontId="12" fillId="3" borderId="1" xfId="0" applyNumberFormat="1" applyFont="1" applyFill="1" applyBorder="1" applyAlignment="1">
      <alignment horizontal="center" vertical="top" wrapText="1"/>
    </xf>
    <xf numFmtId="0" fontId="17" fillId="3" borderId="25" xfId="0" applyFont="1" applyFill="1" applyBorder="1" applyAlignment="1">
      <alignment vertical="top" wrapText="1"/>
    </xf>
    <xf numFmtId="165" fontId="12" fillId="3" borderId="26" xfId="0" applyNumberFormat="1" applyFont="1" applyFill="1" applyBorder="1" applyAlignment="1">
      <alignment horizontal="center" vertical="top" wrapText="1"/>
    </xf>
    <xf numFmtId="0" fontId="12" fillId="3" borderId="26" xfId="0" applyFont="1" applyFill="1" applyBorder="1" applyAlignment="1">
      <alignment horizontal="center" vertical="top" wrapText="1"/>
    </xf>
    <xf numFmtId="165" fontId="12" fillId="3" borderId="9" xfId="0" applyNumberFormat="1" applyFont="1" applyFill="1" applyBorder="1" applyAlignment="1">
      <alignment horizontal="center" vertical="top" wrapText="1"/>
    </xf>
    <xf numFmtId="165" fontId="12" fillId="3" borderId="1" xfId="0" applyNumberFormat="1" applyFont="1" applyFill="1" applyBorder="1" applyAlignment="1">
      <alignment horizontal="center" vertical="top" wrapText="1"/>
    </xf>
    <xf numFmtId="0" fontId="12" fillId="3" borderId="9" xfId="0" applyFont="1" applyFill="1" applyBorder="1" applyAlignment="1">
      <alignment horizontal="center" vertical="top" wrapText="1"/>
    </xf>
    <xf numFmtId="164" fontId="12" fillId="3" borderId="9" xfId="0" applyNumberFormat="1" applyFont="1" applyFill="1" applyBorder="1" applyAlignment="1">
      <alignment horizontal="center" vertical="top" wrapText="1"/>
    </xf>
    <xf numFmtId="165" fontId="12" fillId="3" borderId="7" xfId="0" applyNumberFormat="1" applyFont="1" applyFill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 wrapText="1"/>
    </xf>
    <xf numFmtId="165" fontId="12" fillId="0" borderId="17" xfId="0" applyNumberFormat="1" applyFont="1" applyBorder="1" applyAlignment="1">
      <alignment horizontal="center" vertical="top"/>
    </xf>
    <xf numFmtId="164" fontId="12" fillId="0" borderId="3" xfId="0" applyNumberFormat="1" applyFont="1" applyBorder="1" applyAlignment="1">
      <alignment horizontal="center" vertical="top" wrapText="1"/>
    </xf>
    <xf numFmtId="164" fontId="12" fillId="3" borderId="3" xfId="0" applyNumberFormat="1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 wrapText="1"/>
    </xf>
    <xf numFmtId="165" fontId="12" fillId="3" borderId="5" xfId="0" applyNumberFormat="1" applyFont="1" applyFill="1" applyBorder="1" applyAlignment="1">
      <alignment horizontal="center" vertical="top" wrapText="1"/>
    </xf>
    <xf numFmtId="0" fontId="17" fillId="3" borderId="2" xfId="0" applyFont="1" applyFill="1" applyBorder="1" applyAlignment="1">
      <alignment vertical="top" wrapText="1"/>
    </xf>
    <xf numFmtId="0" fontId="17" fillId="4" borderId="3" xfId="0" applyFont="1" applyFill="1" applyBorder="1" applyAlignment="1">
      <alignment vertical="top" wrapText="1"/>
    </xf>
    <xf numFmtId="0" fontId="12" fillId="0" borderId="9" xfId="0" applyFont="1" applyBorder="1" applyAlignment="1">
      <alignment vertical="top" wrapText="1"/>
    </xf>
    <xf numFmtId="0" fontId="17" fillId="6" borderId="7" xfId="0" applyFont="1" applyFill="1" applyBorder="1" applyAlignment="1">
      <alignment vertical="top" wrapText="1"/>
    </xf>
    <xf numFmtId="0" fontId="17" fillId="0" borderId="7" xfId="0" applyFont="1" applyBorder="1" applyAlignment="1">
      <alignment vertical="top" wrapText="1"/>
    </xf>
    <xf numFmtId="0" fontId="16" fillId="3" borderId="1" xfId="0" applyFont="1" applyFill="1" applyBorder="1" applyAlignment="1">
      <alignment vertical="top"/>
    </xf>
    <xf numFmtId="0" fontId="17" fillId="3" borderId="28" xfId="0" applyFont="1" applyFill="1" applyBorder="1" applyAlignment="1">
      <alignment vertical="top" wrapText="1"/>
    </xf>
    <xf numFmtId="0" fontId="17" fillId="6" borderId="1" xfId="0" applyFont="1" applyFill="1" applyBorder="1" applyAlignment="1">
      <alignment vertical="top"/>
    </xf>
    <xf numFmtId="0" fontId="3" fillId="0" borderId="0" xfId="0" applyFont="1" applyAlignment="1">
      <alignment vertical="top"/>
    </xf>
    <xf numFmtId="0" fontId="23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top" wrapText="1"/>
    </xf>
    <xf numFmtId="0" fontId="5" fillId="0" borderId="24" xfId="0" applyFont="1" applyBorder="1" applyAlignment="1">
      <alignment vertical="top" wrapText="1"/>
    </xf>
    <xf numFmtId="0" fontId="24" fillId="3" borderId="1" xfId="0" applyFont="1" applyFill="1" applyBorder="1" applyAlignment="1">
      <alignment vertical="top" wrapText="1"/>
    </xf>
    <xf numFmtId="165" fontId="20" fillId="0" borderId="0" xfId="0" applyNumberFormat="1" applyFont="1" applyAlignment="1">
      <alignment vertical="top"/>
    </xf>
    <xf numFmtId="165" fontId="5" fillId="3" borderId="9" xfId="0" applyNumberFormat="1" applyFont="1" applyFill="1" applyBorder="1" applyAlignment="1">
      <alignment horizontal="center" vertical="top" wrapText="1"/>
    </xf>
    <xf numFmtId="165" fontId="5" fillId="3" borderId="7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0" fontId="12" fillId="3" borderId="17" xfId="0" applyFont="1" applyFill="1" applyBorder="1"/>
    <xf numFmtId="0" fontId="12" fillId="3" borderId="22" xfId="0" applyFont="1" applyFill="1" applyBorder="1"/>
    <xf numFmtId="0" fontId="3" fillId="3" borderId="0" xfId="0" applyFont="1" applyFill="1"/>
    <xf numFmtId="164" fontId="16" fillId="3" borderId="7" xfId="0" applyNumberFormat="1" applyFont="1" applyFill="1" applyBorder="1" applyAlignment="1">
      <alignment horizontal="center" vertical="top" wrapText="1"/>
    </xf>
    <xf numFmtId="164" fontId="16" fillId="3" borderId="9" xfId="0" applyNumberFormat="1" applyFont="1" applyFill="1" applyBorder="1" applyAlignment="1">
      <alignment horizontal="center" vertical="top" wrapText="1"/>
    </xf>
    <xf numFmtId="164" fontId="16" fillId="3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165" fontId="4" fillId="0" borderId="0" xfId="0" applyNumberFormat="1" applyFont="1"/>
    <xf numFmtId="0" fontId="4" fillId="7" borderId="9" xfId="0" applyFont="1" applyFill="1" applyBorder="1" applyAlignment="1">
      <alignment wrapText="1"/>
    </xf>
    <xf numFmtId="0" fontId="12" fillId="7" borderId="7" xfId="0" applyFont="1" applyFill="1" applyBorder="1" applyAlignment="1">
      <alignment wrapText="1"/>
    </xf>
    <xf numFmtId="0" fontId="4" fillId="7" borderId="7" xfId="0" applyFont="1" applyFill="1" applyBorder="1" applyAlignment="1">
      <alignment wrapText="1"/>
    </xf>
    <xf numFmtId="0" fontId="12" fillId="7" borderId="9" xfId="0" applyFont="1" applyFill="1" applyBorder="1" applyAlignment="1">
      <alignment wrapText="1"/>
    </xf>
    <xf numFmtId="165" fontId="12" fillId="7" borderId="9" xfId="0" applyNumberFormat="1" applyFont="1" applyFill="1" applyBorder="1" applyAlignment="1">
      <alignment horizontal="center" vertical="top" wrapText="1"/>
    </xf>
    <xf numFmtId="165" fontId="16" fillId="3" borderId="7" xfId="0" applyNumberFormat="1" applyFont="1" applyFill="1" applyBorder="1" applyAlignment="1">
      <alignment horizontal="center" vertical="top" wrapText="1"/>
    </xf>
    <xf numFmtId="164" fontId="10" fillId="0" borderId="1" xfId="0" applyNumberFormat="1" applyFont="1" applyBorder="1" applyAlignment="1">
      <alignment horizontal="center" vertical="top" wrapText="1"/>
    </xf>
    <xf numFmtId="164" fontId="11" fillId="3" borderId="1" xfId="0" applyNumberFormat="1" applyFont="1" applyFill="1" applyBorder="1" applyAlignment="1">
      <alignment horizontal="center" vertical="top" wrapText="1"/>
    </xf>
    <xf numFmtId="0" fontId="12" fillId="0" borderId="0" xfId="0" applyFont="1"/>
    <xf numFmtId="165" fontId="12" fillId="3" borderId="3" xfId="0" applyNumberFormat="1" applyFont="1" applyFill="1" applyBorder="1" applyAlignment="1">
      <alignment horizontal="center" vertical="top" wrapText="1"/>
    </xf>
    <xf numFmtId="0" fontId="23" fillId="0" borderId="0" xfId="0" applyFont="1" applyAlignment="1">
      <alignment vertical="top"/>
    </xf>
    <xf numFmtId="0" fontId="19" fillId="3" borderId="1" xfId="0" applyFont="1" applyFill="1" applyBorder="1" applyAlignment="1">
      <alignment vertical="top" wrapText="1"/>
    </xf>
    <xf numFmtId="0" fontId="19" fillId="0" borderId="30" xfId="0" applyFont="1" applyBorder="1" applyAlignment="1">
      <alignment vertical="top" wrapText="1"/>
    </xf>
    <xf numFmtId="0" fontId="12" fillId="7" borderId="30" xfId="0" applyFont="1" applyFill="1" applyBorder="1" applyAlignment="1">
      <alignment vertical="top" wrapText="1"/>
    </xf>
    <xf numFmtId="0" fontId="26" fillId="3" borderId="10" xfId="0" applyFont="1" applyFill="1" applyBorder="1" applyAlignment="1">
      <alignment vertical="top" wrapText="1"/>
    </xf>
    <xf numFmtId="3" fontId="4" fillId="3" borderId="2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/>
    </xf>
    <xf numFmtId="0" fontId="3" fillId="0" borderId="17" xfId="0" applyFont="1" applyBorder="1"/>
    <xf numFmtId="164" fontId="12" fillId="3" borderId="6" xfId="0" applyNumberFormat="1" applyFont="1" applyFill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164" fontId="3" fillId="0" borderId="3" xfId="0" applyNumberFormat="1" applyFont="1" applyBorder="1" applyAlignment="1">
      <alignment horizontal="center" vertical="top" wrapText="1"/>
    </xf>
    <xf numFmtId="14" fontId="4" fillId="0" borderId="0" xfId="0" applyNumberFormat="1" applyFont="1"/>
    <xf numFmtId="164" fontId="12" fillId="3" borderId="7" xfId="0" applyNumberFormat="1" applyFont="1" applyFill="1" applyBorder="1" applyAlignment="1">
      <alignment horizontal="center" vertical="top" wrapText="1"/>
    </xf>
    <xf numFmtId="164" fontId="11" fillId="3" borderId="7" xfId="0" applyNumberFormat="1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16" fillId="3" borderId="1" xfId="0" applyFont="1" applyFill="1" applyBorder="1" applyAlignment="1">
      <alignment vertical="top" wrapText="1"/>
    </xf>
    <xf numFmtId="0" fontId="12" fillId="3" borderId="5" xfId="0" applyFont="1" applyFill="1" applyBorder="1" applyAlignment="1">
      <alignment horizontal="left" vertical="top" wrapText="1"/>
    </xf>
    <xf numFmtId="0" fontId="10" fillId="3" borderId="14" xfId="0" applyFont="1" applyFill="1" applyBorder="1" applyAlignment="1">
      <alignment horizontal="center" vertical="top" wrapText="1"/>
    </xf>
    <xf numFmtId="164" fontId="10" fillId="3" borderId="2" xfId="0" applyNumberFormat="1" applyFont="1" applyFill="1" applyBorder="1" applyAlignment="1">
      <alignment horizontal="center" vertical="top" wrapText="1"/>
    </xf>
    <xf numFmtId="0" fontId="3" fillId="0" borderId="9" xfId="0" applyFont="1" applyBorder="1"/>
    <xf numFmtId="0" fontId="3" fillId="3" borderId="9" xfId="0" applyFont="1" applyFill="1" applyBorder="1" applyAlignment="1">
      <alignment horizontal="center" vertical="top"/>
    </xf>
    <xf numFmtId="0" fontId="11" fillId="3" borderId="1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vertical="top" wrapText="1"/>
    </xf>
    <xf numFmtId="3" fontId="4" fillId="3" borderId="5" xfId="0" applyNumberFormat="1" applyFont="1" applyFill="1" applyBorder="1" applyAlignment="1">
      <alignment horizontal="center" vertical="top" wrapText="1"/>
    </xf>
    <xf numFmtId="0" fontId="10" fillId="8" borderId="7" xfId="0" applyFont="1" applyFill="1" applyBorder="1" applyAlignment="1">
      <alignment horizontal="left" vertical="top" wrapText="1"/>
    </xf>
    <xf numFmtId="0" fontId="2" fillId="8" borderId="7" xfId="0" applyFont="1" applyFill="1" applyBorder="1" applyAlignment="1">
      <alignment horizontal="left" vertical="top" wrapText="1"/>
    </xf>
    <xf numFmtId="0" fontId="12" fillId="3" borderId="23" xfId="0" applyFont="1" applyFill="1" applyBorder="1" applyAlignment="1">
      <alignment horizontal="center" vertical="top" wrapText="1"/>
    </xf>
    <xf numFmtId="0" fontId="12" fillId="3" borderId="5" xfId="0" applyFont="1" applyFill="1" applyBorder="1" applyAlignment="1">
      <alignment horizontal="center" vertical="top" wrapText="1"/>
    </xf>
    <xf numFmtId="0" fontId="12" fillId="3" borderId="3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10" xfId="0" applyFont="1" applyFill="1" applyBorder="1" applyAlignment="1">
      <alignment horizontal="center" vertical="top" wrapText="1"/>
    </xf>
    <xf numFmtId="0" fontId="10" fillId="3" borderId="5" xfId="0" applyFont="1" applyFill="1" applyBorder="1" applyAlignment="1">
      <alignment horizontal="center" vertical="top" wrapText="1"/>
    </xf>
    <xf numFmtId="0" fontId="25" fillId="3" borderId="5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top" wrapText="1"/>
    </xf>
    <xf numFmtId="0" fontId="10" fillId="3" borderId="23" xfId="0" applyFont="1" applyFill="1" applyBorder="1" applyAlignment="1">
      <alignment horizontal="center" vertical="top" wrapText="1"/>
    </xf>
    <xf numFmtId="3" fontId="4" fillId="3" borderId="13" xfId="0" applyNumberFormat="1" applyFont="1" applyFill="1" applyBorder="1" applyAlignment="1">
      <alignment horizontal="center" vertical="top" wrapText="1"/>
    </xf>
    <xf numFmtId="3" fontId="4" fillId="3" borderId="14" xfId="0" applyNumberFormat="1" applyFont="1" applyFill="1" applyBorder="1" applyAlignment="1">
      <alignment horizontal="center" vertical="top" wrapText="1"/>
    </xf>
    <xf numFmtId="3" fontId="4" fillId="3" borderId="9" xfId="0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10" fillId="3" borderId="10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27" fillId="3" borderId="2" xfId="0" applyFont="1" applyFill="1" applyBorder="1" applyAlignment="1">
      <alignment horizontal="left" vertical="top" wrapText="1"/>
    </xf>
    <xf numFmtId="0" fontId="27" fillId="3" borderId="5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2" fillId="3" borderId="2" xfId="0" applyFont="1" applyFill="1" applyBorder="1" applyAlignment="1">
      <alignment horizontal="left" vertical="top" wrapText="1"/>
    </xf>
    <xf numFmtId="0" fontId="12" fillId="3" borderId="5" xfId="0" applyFont="1" applyFill="1" applyBorder="1" applyAlignment="1">
      <alignment horizontal="left" vertical="top" wrapText="1"/>
    </xf>
    <xf numFmtId="0" fontId="12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0" fillId="3" borderId="2" xfId="0" applyFont="1" applyFill="1" applyBorder="1" applyAlignment="1">
      <alignment vertical="top" wrapText="1"/>
    </xf>
    <xf numFmtId="0" fontId="10" fillId="3" borderId="5" xfId="0" applyFont="1" applyFill="1" applyBorder="1" applyAlignment="1">
      <alignment vertical="top" wrapText="1"/>
    </xf>
    <xf numFmtId="0" fontId="10" fillId="3" borderId="10" xfId="0" applyFont="1" applyFill="1" applyBorder="1" applyAlignment="1">
      <alignment vertical="top" wrapText="1"/>
    </xf>
    <xf numFmtId="0" fontId="3" fillId="3" borderId="10" xfId="0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2" fillId="3" borderId="29" xfId="0" applyFont="1" applyFill="1" applyBorder="1" applyAlignment="1">
      <alignment horizontal="center" vertical="top" wrapText="1"/>
    </xf>
    <xf numFmtId="0" fontId="12" fillId="3" borderId="24" xfId="0" applyFont="1" applyFill="1" applyBorder="1" applyAlignment="1">
      <alignment horizontal="center" vertical="top" wrapText="1"/>
    </xf>
    <xf numFmtId="0" fontId="12" fillId="3" borderId="27" xfId="0" applyFont="1" applyFill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3" fontId="4" fillId="3" borderId="23" xfId="0" applyNumberFormat="1" applyFont="1" applyFill="1" applyBorder="1" applyAlignment="1">
      <alignment horizontal="center" vertical="top" wrapText="1"/>
    </xf>
    <xf numFmtId="3" fontId="4" fillId="3" borderId="3" xfId="0" applyNumberFormat="1" applyFont="1" applyFill="1" applyBorder="1" applyAlignment="1">
      <alignment horizontal="center" vertical="top" wrapText="1"/>
    </xf>
    <xf numFmtId="3" fontId="4" fillId="3" borderId="30" xfId="0" applyNumberFormat="1" applyFont="1" applyFill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left" vertical="top" wrapText="1"/>
    </xf>
    <xf numFmtId="0" fontId="12" fillId="3" borderId="3" xfId="0" applyFont="1" applyFill="1" applyBorder="1" applyAlignment="1">
      <alignment horizontal="left" vertical="top" wrapText="1"/>
    </xf>
    <xf numFmtId="3" fontId="4" fillId="3" borderId="2" xfId="0" applyNumberFormat="1" applyFont="1" applyFill="1" applyBorder="1" applyAlignment="1">
      <alignment horizontal="center" vertical="top" wrapText="1"/>
    </xf>
    <xf numFmtId="3" fontId="4" fillId="3" borderId="10" xfId="0" applyNumberFormat="1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8" fillId="0" borderId="0" xfId="0" applyFont="1" applyAlignment="1">
      <alignment horizontal="left"/>
    </xf>
    <xf numFmtId="0" fontId="6" fillId="3" borderId="2" xfId="0" applyFont="1" applyFill="1" applyBorder="1" applyAlignment="1">
      <alignment horizontal="center" vertical="top" wrapText="1"/>
    </xf>
    <xf numFmtId="0" fontId="17" fillId="3" borderId="3" xfId="0" applyFont="1" applyFill="1" applyBorder="1" applyAlignment="1">
      <alignment horizontal="center" vertical="top" wrapText="1"/>
    </xf>
    <xf numFmtId="0" fontId="9" fillId="0" borderId="20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4" fillId="3" borderId="29" xfId="0" applyFont="1" applyFill="1" applyBorder="1" applyAlignment="1">
      <alignment horizontal="left" vertical="top" wrapText="1"/>
    </xf>
    <xf numFmtId="0" fontId="4" fillId="3" borderId="18" xfId="0" applyFont="1" applyFill="1" applyBorder="1" applyAlignment="1">
      <alignment horizontal="left" vertical="top" wrapText="1"/>
    </xf>
    <xf numFmtId="0" fontId="4" fillId="3" borderId="27" xfId="0" applyFont="1" applyFill="1" applyBorder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3" fillId="3" borderId="23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5" borderId="1" xfId="0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colors>
    <mruColors>
      <color rgb="FFFFCC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9125D-579F-4A47-AB90-A5D8AADB0019}">
  <sheetPr>
    <pageSetUpPr fitToPage="1"/>
  </sheetPr>
  <dimension ref="A1:Q276"/>
  <sheetViews>
    <sheetView tabSelected="1" zoomScaleNormal="100" workbookViewId="0">
      <selection activeCell="B4" sqref="B4:I4"/>
    </sheetView>
  </sheetViews>
  <sheetFormatPr defaultColWidth="9.44140625" defaultRowHeight="13.2" x14ac:dyDescent="0.25"/>
  <cols>
    <col min="1" max="1" width="2.5546875" style="1" customWidth="1"/>
    <col min="2" max="2" width="17.5546875" style="1" customWidth="1"/>
    <col min="3" max="3" width="46.5546875" style="82" customWidth="1"/>
    <col min="4" max="4" width="17" style="82" customWidth="1"/>
    <col min="5" max="8" width="11.109375" style="1" customWidth="1"/>
    <col min="9" max="9" width="15.33203125" style="1" customWidth="1"/>
    <col min="10" max="10" width="11.44140625" style="37" customWidth="1"/>
    <col min="11" max="11" width="13.5546875" style="37" customWidth="1"/>
    <col min="12" max="17" width="9.44140625" style="37"/>
    <col min="18" max="16384" width="9.44140625" style="1"/>
  </cols>
  <sheetData>
    <row r="1" spans="1:17" ht="15.6" x14ac:dyDescent="0.3">
      <c r="C1" s="170"/>
      <c r="D1" s="1"/>
      <c r="H1" s="286" t="s">
        <v>0</v>
      </c>
      <c r="I1" s="286"/>
      <c r="J1" s="171"/>
      <c r="K1" s="1"/>
      <c r="L1" s="1"/>
      <c r="M1" s="1"/>
      <c r="N1" s="1"/>
      <c r="O1" s="1"/>
      <c r="P1" s="171"/>
      <c r="Q1" s="1"/>
    </row>
    <row r="2" spans="1:17" ht="13.95" customHeight="1" x14ac:dyDescent="0.3">
      <c r="C2" s="170"/>
      <c r="D2" s="1"/>
      <c r="H2" s="286" t="s">
        <v>1</v>
      </c>
      <c r="I2" s="286"/>
      <c r="J2" s="171"/>
      <c r="K2" s="1"/>
      <c r="L2" s="1"/>
      <c r="M2" s="1"/>
      <c r="N2" s="1"/>
      <c r="O2" s="1"/>
      <c r="P2" s="171"/>
      <c r="Q2" s="1"/>
    </row>
    <row r="3" spans="1:17" ht="15.6" x14ac:dyDescent="0.3">
      <c r="B3" s="37"/>
      <c r="E3" s="37"/>
      <c r="F3" s="37"/>
      <c r="G3" s="81"/>
      <c r="H3" s="81"/>
      <c r="I3" s="81"/>
    </row>
    <row r="4" spans="1:17" ht="39.6" customHeight="1" x14ac:dyDescent="0.25">
      <c r="B4" s="289" t="s">
        <v>2</v>
      </c>
      <c r="C4" s="289"/>
      <c r="D4" s="289"/>
      <c r="E4" s="289"/>
      <c r="F4" s="289"/>
      <c r="G4" s="289"/>
      <c r="H4" s="289"/>
      <c r="I4" s="289"/>
    </row>
    <row r="5" spans="1:17" ht="84.6" customHeight="1" x14ac:dyDescent="0.25">
      <c r="B5" s="10" t="s">
        <v>3</v>
      </c>
      <c r="C5" s="83" t="s">
        <v>4</v>
      </c>
      <c r="D5" s="172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</row>
    <row r="6" spans="1:17" x14ac:dyDescent="0.25">
      <c r="B6" s="23">
        <v>1</v>
      </c>
      <c r="C6" s="84">
        <v>2</v>
      </c>
      <c r="D6" s="84">
        <v>3</v>
      </c>
      <c r="E6" s="23">
        <v>4</v>
      </c>
      <c r="F6" s="23">
        <v>5</v>
      </c>
      <c r="G6" s="23">
        <v>6</v>
      </c>
      <c r="H6" s="23">
        <v>7</v>
      </c>
      <c r="I6" s="23">
        <v>8</v>
      </c>
    </row>
    <row r="7" spans="1:17" ht="21" customHeight="1" x14ac:dyDescent="0.25">
      <c r="B7" s="12" t="s">
        <v>11</v>
      </c>
      <c r="C7" s="85" t="s">
        <v>12</v>
      </c>
      <c r="D7" s="85"/>
      <c r="E7" s="13"/>
      <c r="F7" s="13"/>
      <c r="G7" s="13"/>
      <c r="H7" s="13"/>
      <c r="I7" s="13"/>
    </row>
    <row r="8" spans="1:17" ht="19.5" customHeight="1" x14ac:dyDescent="0.25">
      <c r="B8" s="14" t="s">
        <v>13</v>
      </c>
      <c r="C8" s="86" t="s">
        <v>14</v>
      </c>
      <c r="D8" s="86"/>
      <c r="E8" s="15"/>
      <c r="F8" s="15"/>
      <c r="G8" s="15"/>
      <c r="H8" s="15"/>
      <c r="I8" s="15"/>
    </row>
    <row r="9" spans="1:17" ht="32.25" customHeight="1" x14ac:dyDescent="0.25">
      <c r="B9" s="246" t="s">
        <v>15</v>
      </c>
      <c r="C9" s="199" t="s">
        <v>16</v>
      </c>
      <c r="D9" s="232" t="s">
        <v>17</v>
      </c>
      <c r="E9" s="26"/>
      <c r="F9" s="26"/>
      <c r="G9" s="26"/>
      <c r="H9" s="26"/>
      <c r="I9" s="4" t="s">
        <v>18</v>
      </c>
    </row>
    <row r="10" spans="1:17" ht="28.5" customHeight="1" x14ac:dyDescent="0.25">
      <c r="B10" s="247"/>
      <c r="C10" s="88" t="s">
        <v>19</v>
      </c>
      <c r="D10" s="233"/>
      <c r="E10" s="58"/>
      <c r="F10" s="36">
        <f>1000-300</f>
        <v>700</v>
      </c>
      <c r="G10" s="36"/>
      <c r="H10" s="36"/>
      <c r="I10" s="4"/>
      <c r="J10" s="133"/>
    </row>
    <row r="11" spans="1:17" ht="16.5" customHeight="1" x14ac:dyDescent="0.25">
      <c r="B11" s="247"/>
      <c r="C11" s="88" t="s">
        <v>20</v>
      </c>
      <c r="D11" s="233"/>
      <c r="E11" s="146">
        <v>1424.3</v>
      </c>
      <c r="F11" s="36"/>
      <c r="G11" s="25"/>
      <c r="H11" s="25"/>
      <c r="I11" s="4"/>
    </row>
    <row r="12" spans="1:17" ht="16.5" customHeight="1" x14ac:dyDescent="0.25">
      <c r="B12" s="247"/>
      <c r="C12" s="88" t="s">
        <v>21</v>
      </c>
      <c r="D12" s="233"/>
      <c r="E12" s="146">
        <f>271.7+100-7.3</f>
        <v>364.4</v>
      </c>
      <c r="F12" s="58">
        <v>176.6</v>
      </c>
      <c r="G12" s="25"/>
      <c r="H12" s="25"/>
      <c r="I12" s="4"/>
    </row>
    <row r="13" spans="1:17" ht="16.5" customHeight="1" x14ac:dyDescent="0.25">
      <c r="B13" s="247"/>
      <c r="C13" s="89" t="s">
        <v>22</v>
      </c>
      <c r="D13" s="233"/>
      <c r="E13" s="155"/>
      <c r="F13" s="25"/>
      <c r="G13" s="36">
        <v>1800</v>
      </c>
      <c r="H13" s="36">
        <v>1993.4</v>
      </c>
      <c r="I13" s="4"/>
    </row>
    <row r="14" spans="1:17" ht="16.5" customHeight="1" x14ac:dyDescent="0.25">
      <c r="B14" s="253"/>
      <c r="C14" s="88" t="s">
        <v>23</v>
      </c>
      <c r="D14" s="233"/>
      <c r="E14" s="155">
        <v>12.4</v>
      </c>
      <c r="F14" s="25"/>
      <c r="G14" s="25"/>
      <c r="H14" s="25"/>
      <c r="I14" s="4"/>
    </row>
    <row r="15" spans="1:17" ht="40.5" customHeight="1" x14ac:dyDescent="0.25">
      <c r="A15" s="44"/>
      <c r="B15" s="249"/>
      <c r="C15" s="87" t="s">
        <v>24</v>
      </c>
      <c r="D15" s="233"/>
      <c r="E15" s="146"/>
      <c r="F15" s="195"/>
      <c r="G15" s="195"/>
      <c r="H15" s="195"/>
      <c r="I15" s="18" t="s">
        <v>18</v>
      </c>
    </row>
    <row r="16" spans="1:17" ht="17.399999999999999" customHeight="1" x14ac:dyDescent="0.25">
      <c r="A16" s="44"/>
      <c r="B16" s="250"/>
      <c r="C16" s="60" t="s">
        <v>21</v>
      </c>
      <c r="D16" s="234"/>
      <c r="E16" s="146">
        <f>143.4-139.9</f>
        <v>3.5</v>
      </c>
      <c r="F16" s="195"/>
      <c r="G16" s="195"/>
      <c r="H16" s="195"/>
      <c r="I16" s="221"/>
    </row>
    <row r="17" spans="2:12" ht="24.75" customHeight="1" x14ac:dyDescent="0.25">
      <c r="B17" s="246"/>
      <c r="C17" s="87" t="s">
        <v>26</v>
      </c>
      <c r="D17" s="232" t="s">
        <v>27</v>
      </c>
      <c r="E17" s="155"/>
      <c r="F17" s="25"/>
      <c r="G17" s="25"/>
      <c r="H17" s="25"/>
      <c r="I17" s="4" t="s">
        <v>28</v>
      </c>
    </row>
    <row r="18" spans="2:12" ht="27" customHeight="1" x14ac:dyDescent="0.25">
      <c r="B18" s="247"/>
      <c r="C18" s="130" t="s">
        <v>29</v>
      </c>
      <c r="D18" s="233"/>
      <c r="E18" s="155">
        <v>152.6</v>
      </c>
      <c r="F18" s="25"/>
      <c r="G18" s="25"/>
      <c r="H18" s="25"/>
      <c r="I18" s="4"/>
    </row>
    <row r="19" spans="2:12" ht="16.5" customHeight="1" x14ac:dyDescent="0.25">
      <c r="B19" s="261"/>
      <c r="C19" s="60" t="s">
        <v>21</v>
      </c>
      <c r="D19" s="233"/>
      <c r="E19" s="146">
        <v>88.9</v>
      </c>
      <c r="F19" s="25"/>
      <c r="G19" s="25"/>
      <c r="H19" s="25"/>
      <c r="I19" s="4"/>
    </row>
    <row r="20" spans="2:12" ht="18.899999999999999" customHeight="1" x14ac:dyDescent="0.25">
      <c r="B20" s="246"/>
      <c r="C20" s="87" t="s">
        <v>30</v>
      </c>
      <c r="D20" s="233"/>
      <c r="E20" s="155"/>
      <c r="F20" s="25"/>
      <c r="G20" s="25"/>
      <c r="H20" s="25"/>
      <c r="I20" s="4" t="s">
        <v>28</v>
      </c>
    </row>
    <row r="21" spans="2:12" ht="28.95" customHeight="1" x14ac:dyDescent="0.25">
      <c r="B21" s="247"/>
      <c r="C21" s="130" t="s">
        <v>29</v>
      </c>
      <c r="D21" s="233"/>
      <c r="E21" s="155">
        <v>257.10000000000002</v>
      </c>
      <c r="F21" s="25"/>
      <c r="G21" s="25"/>
      <c r="H21" s="25"/>
      <c r="I21" s="4"/>
    </row>
    <row r="22" spans="2:12" ht="17.25" customHeight="1" x14ac:dyDescent="0.25">
      <c r="B22" s="261"/>
      <c r="C22" s="60" t="s">
        <v>21</v>
      </c>
      <c r="D22" s="234"/>
      <c r="E22" s="146">
        <v>14.3</v>
      </c>
      <c r="F22" s="25"/>
      <c r="G22" s="25"/>
      <c r="H22" s="25"/>
      <c r="I22" s="4"/>
    </row>
    <row r="23" spans="2:12" ht="22.95" customHeight="1" x14ac:dyDescent="0.25">
      <c r="B23" s="246" t="s">
        <v>31</v>
      </c>
      <c r="C23" s="87" t="s">
        <v>32</v>
      </c>
      <c r="D23" s="232" t="s">
        <v>33</v>
      </c>
      <c r="E23" s="146"/>
      <c r="F23" s="25"/>
      <c r="G23" s="25"/>
      <c r="H23" s="25"/>
      <c r="I23" s="4" t="s">
        <v>34</v>
      </c>
      <c r="J23" s="132"/>
    </row>
    <row r="24" spans="2:12" ht="27" customHeight="1" x14ac:dyDescent="0.25">
      <c r="B24" s="247"/>
      <c r="C24" s="60" t="s">
        <v>19</v>
      </c>
      <c r="D24" s="233"/>
      <c r="E24" s="76">
        <f>10+0.2</f>
        <v>10.199999999999999</v>
      </c>
      <c r="F24" s="36">
        <f>500-100</f>
        <v>400</v>
      </c>
      <c r="G24" s="36">
        <f>2000+100</f>
        <v>2100</v>
      </c>
      <c r="H24" s="25">
        <v>1500</v>
      </c>
      <c r="I24" s="4"/>
      <c r="K24" s="139"/>
      <c r="L24" s="139"/>
    </row>
    <row r="25" spans="2:12" ht="21" customHeight="1" x14ac:dyDescent="0.25">
      <c r="B25" s="247"/>
      <c r="C25" s="60" t="s">
        <v>21</v>
      </c>
      <c r="D25" s="233"/>
      <c r="E25" s="36">
        <v>2</v>
      </c>
      <c r="F25" s="25"/>
      <c r="G25" s="25"/>
      <c r="H25" s="25"/>
      <c r="I25" s="4"/>
      <c r="K25" s="139"/>
    </row>
    <row r="26" spans="2:12" ht="16.5" customHeight="1" x14ac:dyDescent="0.25">
      <c r="B26" s="253"/>
      <c r="C26" s="90" t="s">
        <v>35</v>
      </c>
      <c r="D26" s="233"/>
      <c r="E26" s="25"/>
      <c r="F26" s="25"/>
      <c r="G26" s="36">
        <v>500</v>
      </c>
      <c r="H26" s="36">
        <v>1500</v>
      </c>
      <c r="I26" s="4"/>
    </row>
    <row r="27" spans="2:12" ht="30.75" customHeight="1" x14ac:dyDescent="0.25">
      <c r="B27" s="246" t="s">
        <v>36</v>
      </c>
      <c r="C27" s="199" t="s">
        <v>37</v>
      </c>
      <c r="D27" s="233"/>
      <c r="E27" s="25"/>
      <c r="F27" s="25"/>
      <c r="G27" s="25"/>
      <c r="H27" s="25"/>
      <c r="I27" s="4" t="s">
        <v>38</v>
      </c>
    </row>
    <row r="28" spans="2:12" ht="28.5" customHeight="1" x14ac:dyDescent="0.25">
      <c r="B28" s="247"/>
      <c r="C28" s="88" t="s">
        <v>19</v>
      </c>
      <c r="D28" s="233"/>
      <c r="E28" s="36">
        <v>189.6</v>
      </c>
      <c r="F28" s="58">
        <f>580-100-150</f>
        <v>330</v>
      </c>
      <c r="G28" s="36">
        <f>520+100</f>
        <v>620</v>
      </c>
      <c r="H28" s="25">
        <v>400</v>
      </c>
      <c r="I28" s="4"/>
    </row>
    <row r="29" spans="2:12" ht="17.25" customHeight="1" x14ac:dyDescent="0.25">
      <c r="B29" s="247"/>
      <c r="C29" s="60" t="s">
        <v>20</v>
      </c>
      <c r="D29" s="233"/>
      <c r="E29" s="146">
        <v>250</v>
      </c>
      <c r="F29" s="146"/>
      <c r="G29" s="36"/>
      <c r="H29" s="36"/>
      <c r="I29" s="4"/>
      <c r="K29" s="139"/>
      <c r="L29" s="139"/>
    </row>
    <row r="30" spans="2:12" ht="17.25" customHeight="1" x14ac:dyDescent="0.25">
      <c r="B30" s="247"/>
      <c r="C30" s="60" t="s">
        <v>21</v>
      </c>
      <c r="D30" s="233"/>
      <c r="E30" s="146">
        <f>380-100</f>
        <v>280</v>
      </c>
      <c r="F30" s="155"/>
      <c r="G30" s="25"/>
      <c r="H30" s="25"/>
      <c r="I30" s="4"/>
    </row>
    <row r="31" spans="2:12" ht="17.25" customHeight="1" x14ac:dyDescent="0.25">
      <c r="B31" s="253"/>
      <c r="C31" s="90" t="s">
        <v>35</v>
      </c>
      <c r="D31" s="233"/>
      <c r="E31" s="146"/>
      <c r="F31" s="146">
        <v>100</v>
      </c>
      <c r="G31" s="36">
        <v>100</v>
      </c>
      <c r="H31" s="36">
        <v>100</v>
      </c>
      <c r="I31" s="4"/>
    </row>
    <row r="32" spans="2:12" ht="28.5" customHeight="1" x14ac:dyDescent="0.25">
      <c r="B32" s="251" t="s">
        <v>39</v>
      </c>
      <c r="C32" s="199" t="s">
        <v>40</v>
      </c>
      <c r="D32" s="233"/>
      <c r="E32" s="155"/>
      <c r="F32" s="155"/>
      <c r="G32" s="25"/>
      <c r="H32" s="25"/>
      <c r="I32" s="4" t="s">
        <v>41</v>
      </c>
    </row>
    <row r="33" spans="2:13" ht="28.2" customHeight="1" x14ac:dyDescent="0.25">
      <c r="B33" s="252"/>
      <c r="C33" s="60" t="s">
        <v>19</v>
      </c>
      <c r="D33" s="233"/>
      <c r="E33" s="146">
        <v>110.6</v>
      </c>
      <c r="F33" s="124">
        <f>790-90</f>
        <v>700</v>
      </c>
      <c r="G33" s="208">
        <v>1600</v>
      </c>
      <c r="H33" s="218"/>
      <c r="I33" s="4"/>
    </row>
    <row r="34" spans="2:13" ht="16.95" customHeight="1" x14ac:dyDescent="0.25">
      <c r="B34" s="252"/>
      <c r="C34" s="60" t="s">
        <v>21</v>
      </c>
      <c r="D34" s="233"/>
      <c r="E34" s="206">
        <v>557</v>
      </c>
      <c r="F34" s="205"/>
      <c r="G34" s="205"/>
      <c r="H34" s="205"/>
      <c r="I34" s="207"/>
      <c r="K34" s="139"/>
    </row>
    <row r="35" spans="2:13" ht="18" customHeight="1" x14ac:dyDescent="0.25">
      <c r="B35" s="252"/>
      <c r="C35" s="140" t="s">
        <v>35</v>
      </c>
      <c r="D35" s="233"/>
      <c r="E35" s="146"/>
      <c r="F35" s="158"/>
      <c r="G35" s="209"/>
      <c r="H35" s="209"/>
      <c r="I35" s="4"/>
      <c r="K35" s="139"/>
      <c r="L35" s="139"/>
    </row>
    <row r="36" spans="2:13" ht="18.600000000000001" customHeight="1" x14ac:dyDescent="0.25">
      <c r="B36" s="260"/>
      <c r="C36" s="167" t="s">
        <v>23</v>
      </c>
      <c r="D36" s="234"/>
      <c r="E36" s="146">
        <f>72.8+30.3</f>
        <v>103.1</v>
      </c>
      <c r="F36" s="155">
        <v>529.29999999999995</v>
      </c>
      <c r="G36" s="25"/>
      <c r="H36" s="25"/>
      <c r="I36" s="4"/>
      <c r="J36" s="132"/>
      <c r="K36" s="139"/>
    </row>
    <row r="37" spans="2:13" ht="30.75" customHeight="1" x14ac:dyDescent="0.25">
      <c r="B37" s="246" t="s">
        <v>42</v>
      </c>
      <c r="C37" s="175" t="s">
        <v>43</v>
      </c>
      <c r="D37" s="287" t="s">
        <v>229</v>
      </c>
      <c r="E37" s="155"/>
      <c r="F37" s="155"/>
      <c r="G37" s="25"/>
      <c r="H37" s="25"/>
      <c r="I37" s="4"/>
      <c r="K37" s="139"/>
    </row>
    <row r="38" spans="2:13" ht="61.2" customHeight="1" x14ac:dyDescent="0.25">
      <c r="B38" s="247"/>
      <c r="C38" s="60" t="s">
        <v>19</v>
      </c>
      <c r="D38" s="288"/>
      <c r="E38" s="160"/>
      <c r="F38" s="146">
        <v>30</v>
      </c>
      <c r="G38" s="25"/>
      <c r="H38" s="25"/>
      <c r="I38" s="4"/>
      <c r="K38" s="139"/>
    </row>
    <row r="39" spans="2:13" ht="55.5" customHeight="1" x14ac:dyDescent="0.25">
      <c r="B39" s="246" t="s">
        <v>44</v>
      </c>
      <c r="C39" s="91" t="s">
        <v>45</v>
      </c>
      <c r="D39" s="271" t="s">
        <v>33</v>
      </c>
      <c r="E39" s="155"/>
      <c r="F39" s="155"/>
      <c r="G39" s="25"/>
      <c r="H39" s="25"/>
      <c r="I39" s="4"/>
    </row>
    <row r="40" spans="2:13" ht="29.25" customHeight="1" x14ac:dyDescent="0.25">
      <c r="B40" s="248"/>
      <c r="C40" s="121" t="s">
        <v>19</v>
      </c>
      <c r="D40" s="272"/>
      <c r="E40" s="155">
        <v>30</v>
      </c>
      <c r="F40" s="155">
        <v>30</v>
      </c>
      <c r="G40" s="25">
        <v>30</v>
      </c>
      <c r="H40" s="25">
        <v>30</v>
      </c>
      <c r="I40" s="4"/>
    </row>
    <row r="41" spans="2:13" ht="18.75" customHeight="1" x14ac:dyDescent="0.25">
      <c r="B41" s="247" t="s">
        <v>46</v>
      </c>
      <c r="C41" s="107" t="s">
        <v>47</v>
      </c>
      <c r="D41" s="268" t="s">
        <v>48</v>
      </c>
      <c r="E41" s="155"/>
      <c r="F41" s="155"/>
      <c r="G41" s="25"/>
      <c r="H41" s="25"/>
      <c r="I41" s="4" t="s">
        <v>38</v>
      </c>
    </row>
    <row r="42" spans="2:13" ht="29.25" customHeight="1" x14ac:dyDescent="0.25">
      <c r="B42" s="247"/>
      <c r="C42" s="60" t="s">
        <v>19</v>
      </c>
      <c r="D42" s="269"/>
      <c r="E42" s="151">
        <v>2</v>
      </c>
      <c r="F42" s="193">
        <f>533.3-183.3</f>
        <v>349.99999999999994</v>
      </c>
      <c r="G42" s="57">
        <v>354.8</v>
      </c>
      <c r="H42" s="57">
        <v>52.8</v>
      </c>
      <c r="I42" s="4"/>
      <c r="K42" s="187"/>
    </row>
    <row r="43" spans="2:13" ht="17.25" customHeight="1" x14ac:dyDescent="0.25">
      <c r="B43" s="247"/>
      <c r="C43" s="90" t="s">
        <v>35</v>
      </c>
      <c r="D43" s="269"/>
      <c r="E43" s="161"/>
      <c r="F43" s="193">
        <v>150</v>
      </c>
      <c r="G43" s="57">
        <v>1750</v>
      </c>
      <c r="H43" s="57">
        <v>530</v>
      </c>
      <c r="I43" s="4"/>
      <c r="J43" s="176"/>
      <c r="K43" s="187"/>
    </row>
    <row r="44" spans="2:13" ht="16.95" customHeight="1" x14ac:dyDescent="0.25">
      <c r="B44" s="261"/>
      <c r="C44" s="92" t="s">
        <v>20</v>
      </c>
      <c r="D44" s="269"/>
      <c r="E44" s="157">
        <f>432-152</f>
        <v>280</v>
      </c>
      <c r="F44" s="180"/>
      <c r="G44" s="181"/>
      <c r="H44" s="182"/>
      <c r="I44" s="4"/>
      <c r="K44" s="187"/>
    </row>
    <row r="45" spans="2:13" ht="21" customHeight="1" x14ac:dyDescent="0.25">
      <c r="B45" s="262" t="s">
        <v>49</v>
      </c>
      <c r="C45" s="93" t="s">
        <v>50</v>
      </c>
      <c r="D45" s="269"/>
      <c r="E45" s="158"/>
      <c r="F45" s="159"/>
      <c r="G45" s="146"/>
      <c r="H45" s="36"/>
      <c r="I45" s="18"/>
      <c r="K45" s="187"/>
      <c r="L45" s="187"/>
      <c r="M45" s="187"/>
    </row>
    <row r="46" spans="2:13" ht="28.5" customHeight="1" x14ac:dyDescent="0.25">
      <c r="B46" s="263"/>
      <c r="C46" s="94" t="s">
        <v>19</v>
      </c>
      <c r="D46" s="269"/>
      <c r="E46" s="146">
        <f>2691+191+4.9</f>
        <v>2886.9</v>
      </c>
      <c r="F46" s="183">
        <f>2665.8-498+240.8</f>
        <v>2408.6000000000004</v>
      </c>
      <c r="G46" s="183">
        <v>2167.8000000000002</v>
      </c>
      <c r="H46" s="59">
        <v>2167.8000000000002</v>
      </c>
      <c r="I46" s="4"/>
      <c r="J46" s="133"/>
      <c r="K46" s="139"/>
      <c r="L46" s="139"/>
    </row>
    <row r="47" spans="2:13" ht="18" customHeight="1" x14ac:dyDescent="0.25">
      <c r="B47" s="263"/>
      <c r="C47" s="92" t="s">
        <v>20</v>
      </c>
      <c r="D47" s="269"/>
      <c r="E47" s="159">
        <v>450</v>
      </c>
      <c r="F47" s="184"/>
      <c r="G47" s="184"/>
      <c r="H47" s="55"/>
      <c r="I47" s="4"/>
      <c r="K47" s="187"/>
    </row>
    <row r="48" spans="2:13" ht="18" customHeight="1" x14ac:dyDescent="0.25">
      <c r="B48" s="264"/>
      <c r="C48" s="90" t="s">
        <v>35</v>
      </c>
      <c r="D48" s="269"/>
      <c r="E48" s="159"/>
      <c r="F48" s="153">
        <v>460</v>
      </c>
      <c r="G48" s="153">
        <v>460</v>
      </c>
      <c r="H48" s="55">
        <v>460</v>
      </c>
      <c r="I48" s="4"/>
    </row>
    <row r="49" spans="1:17" ht="20.25" customHeight="1" x14ac:dyDescent="0.25">
      <c r="B49" s="251"/>
      <c r="C49" s="95" t="s">
        <v>51</v>
      </c>
      <c r="D49" s="269"/>
      <c r="E49" s="146"/>
      <c r="F49" s="146"/>
      <c r="G49" s="146"/>
      <c r="H49" s="36"/>
      <c r="I49" s="18"/>
    </row>
    <row r="50" spans="1:17" ht="20.25" customHeight="1" x14ac:dyDescent="0.25">
      <c r="B50" s="252"/>
      <c r="C50" s="60" t="s">
        <v>21</v>
      </c>
      <c r="D50" s="269"/>
      <c r="E50" s="146">
        <v>7.3</v>
      </c>
      <c r="F50" s="146"/>
      <c r="G50" s="146"/>
      <c r="H50" s="36"/>
      <c r="I50" s="18"/>
    </row>
    <row r="51" spans="1:17" ht="27.6" customHeight="1" x14ac:dyDescent="0.25">
      <c r="B51" s="265"/>
      <c r="C51" s="90" t="s">
        <v>19</v>
      </c>
      <c r="D51" s="269"/>
      <c r="E51" s="146">
        <f>394.2+69</f>
        <v>463.2</v>
      </c>
      <c r="F51" s="146"/>
      <c r="G51" s="146"/>
      <c r="H51" s="36"/>
      <c r="I51" s="18"/>
      <c r="J51" s="70"/>
    </row>
    <row r="52" spans="1:17" ht="20.25" customHeight="1" x14ac:dyDescent="0.25">
      <c r="B52" s="252" t="s">
        <v>52</v>
      </c>
      <c r="C52" s="95" t="s">
        <v>53</v>
      </c>
      <c r="D52" s="269"/>
      <c r="E52" s="146"/>
      <c r="F52" s="146"/>
      <c r="G52" s="146"/>
      <c r="H52" s="36"/>
      <c r="I52" s="18"/>
    </row>
    <row r="53" spans="1:17" ht="28.2" customHeight="1" x14ac:dyDescent="0.25">
      <c r="B53" s="252"/>
      <c r="C53" s="90" t="s">
        <v>19</v>
      </c>
      <c r="D53" s="269"/>
      <c r="E53" s="146"/>
      <c r="F53" s="146">
        <v>283.2</v>
      </c>
      <c r="G53" s="146"/>
      <c r="H53" s="36"/>
      <c r="I53" s="18"/>
    </row>
    <row r="54" spans="1:17" ht="17.25" customHeight="1" x14ac:dyDescent="0.25">
      <c r="B54" s="265"/>
      <c r="C54" s="90" t="s">
        <v>54</v>
      </c>
      <c r="D54" s="269"/>
      <c r="E54" s="146">
        <f>721.4-471.4</f>
        <v>250</v>
      </c>
      <c r="F54" s="185"/>
      <c r="G54" s="146"/>
      <c r="H54" s="36"/>
      <c r="I54" s="18"/>
    </row>
    <row r="55" spans="1:17" ht="18" customHeight="1" x14ac:dyDescent="0.25">
      <c r="B55" s="252" t="s">
        <v>55</v>
      </c>
      <c r="C55" s="222" t="s">
        <v>230</v>
      </c>
      <c r="D55" s="269"/>
      <c r="E55" s="146"/>
      <c r="F55" s="146"/>
      <c r="G55" s="146"/>
      <c r="H55" s="36"/>
      <c r="I55" s="18"/>
      <c r="J55" s="196"/>
    </row>
    <row r="56" spans="1:17" ht="29.25" customHeight="1" x14ac:dyDescent="0.25">
      <c r="B56" s="252"/>
      <c r="C56" s="90" t="s">
        <v>19</v>
      </c>
      <c r="D56" s="269"/>
      <c r="E56" s="146"/>
      <c r="F56" s="185">
        <v>103</v>
      </c>
      <c r="G56" s="146"/>
      <c r="H56" s="36"/>
      <c r="I56" s="18"/>
      <c r="J56" s="198"/>
    </row>
    <row r="57" spans="1:17" ht="17.25" customHeight="1" x14ac:dyDescent="0.25">
      <c r="B57" s="246" t="s">
        <v>56</v>
      </c>
      <c r="C57" s="87" t="s">
        <v>57</v>
      </c>
      <c r="D57" s="269"/>
      <c r="E57" s="155"/>
      <c r="F57" s="155"/>
      <c r="G57" s="155"/>
      <c r="H57" s="25"/>
      <c r="I57" s="4"/>
    </row>
    <row r="58" spans="1:17" ht="30.6" customHeight="1" x14ac:dyDescent="0.25">
      <c r="B58" s="247"/>
      <c r="C58" s="60" t="s">
        <v>19</v>
      </c>
      <c r="D58" s="269"/>
      <c r="E58" s="151">
        <f>902-620-157</f>
        <v>125</v>
      </c>
      <c r="F58" s="154">
        <v>200</v>
      </c>
      <c r="G58" s="154">
        <v>170</v>
      </c>
      <c r="H58" s="57">
        <v>170</v>
      </c>
      <c r="I58" s="4"/>
      <c r="J58" s="70"/>
    </row>
    <row r="59" spans="1:17" ht="16.5" customHeight="1" x14ac:dyDescent="0.25">
      <c r="B59" s="247"/>
      <c r="C59" s="90" t="s">
        <v>35</v>
      </c>
      <c r="D59" s="269"/>
      <c r="E59" s="197"/>
      <c r="F59" s="25">
        <v>200</v>
      </c>
      <c r="G59" s="25">
        <v>220</v>
      </c>
      <c r="H59" s="25">
        <v>220</v>
      </c>
      <c r="I59" s="4"/>
    </row>
    <row r="60" spans="1:17" ht="17.25" customHeight="1" x14ac:dyDescent="0.25">
      <c r="B60" s="261"/>
      <c r="C60" s="60" t="s">
        <v>20</v>
      </c>
      <c r="D60" s="269"/>
      <c r="E60" s="155">
        <v>200</v>
      </c>
      <c r="F60" s="25"/>
      <c r="G60" s="25"/>
      <c r="H60" s="25"/>
      <c r="I60" s="4"/>
    </row>
    <row r="61" spans="1:17" ht="17.25" customHeight="1" x14ac:dyDescent="0.25">
      <c r="A61" s="44"/>
      <c r="B61" s="266" t="s">
        <v>58</v>
      </c>
      <c r="C61" s="199" t="s">
        <v>59</v>
      </c>
      <c r="D61" s="269"/>
      <c r="E61" s="155"/>
      <c r="F61" s="155"/>
      <c r="G61" s="155"/>
      <c r="H61" s="45"/>
      <c r="I61" s="46"/>
      <c r="J61" s="196"/>
      <c r="K61" s="196"/>
      <c r="L61" s="196"/>
      <c r="M61" s="196"/>
      <c r="N61" s="196"/>
      <c r="O61" s="196"/>
      <c r="P61" s="196"/>
      <c r="Q61" s="196"/>
    </row>
    <row r="62" spans="1:17" ht="30.75" customHeight="1" x14ac:dyDescent="0.25">
      <c r="A62" s="44"/>
      <c r="B62" s="267"/>
      <c r="C62" s="60" t="s">
        <v>19</v>
      </c>
      <c r="D62" s="270"/>
      <c r="E62" s="151"/>
      <c r="F62" s="154">
        <v>718</v>
      </c>
      <c r="G62" s="154">
        <v>1312.4</v>
      </c>
      <c r="H62" s="193"/>
      <c r="I62" s="46"/>
      <c r="J62" s="198"/>
      <c r="K62" s="196"/>
      <c r="L62" s="196"/>
      <c r="M62" s="196"/>
      <c r="N62" s="196"/>
      <c r="O62" s="196"/>
      <c r="P62" s="196"/>
      <c r="Q62" s="196"/>
    </row>
    <row r="63" spans="1:17" ht="38.25" customHeight="1" x14ac:dyDescent="0.25">
      <c r="B63" s="246"/>
      <c r="C63" s="87" t="s">
        <v>60</v>
      </c>
      <c r="D63" s="232" t="s">
        <v>48</v>
      </c>
      <c r="E63" s="156"/>
      <c r="F63" s="25"/>
      <c r="G63" s="25"/>
      <c r="H63" s="25"/>
      <c r="I63" s="4"/>
    </row>
    <row r="64" spans="1:17" ht="27" customHeight="1" x14ac:dyDescent="0.25">
      <c r="B64" s="247"/>
      <c r="C64" s="60" t="s">
        <v>19</v>
      </c>
      <c r="D64" s="233"/>
      <c r="E64" s="156"/>
      <c r="F64" s="179"/>
      <c r="G64" s="179"/>
      <c r="H64" s="179"/>
      <c r="I64" s="4"/>
      <c r="J64" s="70"/>
    </row>
    <row r="65" spans="2:12" ht="17.25" customHeight="1" x14ac:dyDescent="0.25">
      <c r="B65" s="253"/>
      <c r="C65" s="60" t="s">
        <v>20</v>
      </c>
      <c r="D65" s="234"/>
      <c r="E65" s="77">
        <v>8</v>
      </c>
      <c r="F65" s="178"/>
      <c r="G65" s="178"/>
      <c r="H65" s="178"/>
      <c r="I65" s="4"/>
    </row>
    <row r="66" spans="2:12" ht="29.25" customHeight="1" x14ac:dyDescent="0.25">
      <c r="B66" s="249"/>
      <c r="C66" s="87" t="s">
        <v>61</v>
      </c>
      <c r="D66" s="232" t="s">
        <v>33</v>
      </c>
      <c r="E66" s="76"/>
      <c r="F66" s="36"/>
      <c r="G66" s="36"/>
      <c r="H66" s="36"/>
      <c r="I66" s="18" t="s">
        <v>34</v>
      </c>
    </row>
    <row r="67" spans="2:12" ht="19.5" customHeight="1" x14ac:dyDescent="0.25">
      <c r="B67" s="250"/>
      <c r="C67" s="60" t="s">
        <v>21</v>
      </c>
      <c r="D67" s="233"/>
      <c r="E67" s="76">
        <v>2.2999999999999998</v>
      </c>
      <c r="F67" s="36"/>
      <c r="G67" s="36"/>
      <c r="H67" s="36"/>
      <c r="I67" s="18"/>
    </row>
    <row r="68" spans="2:12" ht="17.25" customHeight="1" x14ac:dyDescent="0.25">
      <c r="B68" s="246" t="s">
        <v>62</v>
      </c>
      <c r="C68" s="199" t="s">
        <v>63</v>
      </c>
      <c r="D68" s="233"/>
      <c r="E68" s="156"/>
      <c r="F68" s="36"/>
      <c r="G68" s="36"/>
      <c r="H68" s="36"/>
      <c r="I68" s="4" t="s">
        <v>38</v>
      </c>
    </row>
    <row r="69" spans="2:12" ht="28.5" customHeight="1" x14ac:dyDescent="0.25">
      <c r="B69" s="247"/>
      <c r="C69" s="88" t="s">
        <v>19</v>
      </c>
      <c r="D69" s="233"/>
      <c r="E69" s="76">
        <v>19</v>
      </c>
      <c r="F69" s="36">
        <v>620</v>
      </c>
      <c r="G69" s="36">
        <v>950</v>
      </c>
      <c r="H69" s="58">
        <f>397.3</f>
        <v>397.3</v>
      </c>
      <c r="I69" s="4"/>
      <c r="J69" s="70"/>
    </row>
    <row r="70" spans="2:12" ht="20.399999999999999" customHeight="1" x14ac:dyDescent="0.25">
      <c r="B70" s="247"/>
      <c r="C70" s="60" t="s">
        <v>21</v>
      </c>
      <c r="D70" s="233"/>
      <c r="E70" s="76">
        <f>660-140</f>
        <v>520</v>
      </c>
      <c r="F70" s="36"/>
      <c r="G70" s="36"/>
      <c r="H70" s="36"/>
      <c r="I70" s="4"/>
    </row>
    <row r="71" spans="2:12" ht="17.25" customHeight="1" x14ac:dyDescent="0.25">
      <c r="B71" s="247"/>
      <c r="C71" s="60" t="s">
        <v>20</v>
      </c>
      <c r="D71" s="233"/>
      <c r="E71" s="76">
        <f>1300+140</f>
        <v>1440</v>
      </c>
      <c r="F71" s="36"/>
      <c r="G71" s="36"/>
      <c r="H71" s="36"/>
      <c r="I71" s="4"/>
    </row>
    <row r="72" spans="2:12" ht="17.25" customHeight="1" x14ac:dyDescent="0.25">
      <c r="B72" s="248"/>
      <c r="C72" s="90" t="s">
        <v>35</v>
      </c>
      <c r="D72" s="234"/>
      <c r="E72" s="76"/>
      <c r="F72" s="36">
        <v>900</v>
      </c>
      <c r="G72" s="36">
        <v>900</v>
      </c>
      <c r="H72" s="36">
        <v>900</v>
      </c>
      <c r="I72" s="4"/>
    </row>
    <row r="73" spans="2:12" ht="16.5" customHeight="1" x14ac:dyDescent="0.25">
      <c r="B73" s="247" t="s">
        <v>64</v>
      </c>
      <c r="C73" s="87" t="s">
        <v>65</v>
      </c>
      <c r="D73" s="232" t="s">
        <v>48</v>
      </c>
      <c r="E73" s="25"/>
      <c r="F73" s="36"/>
      <c r="G73" s="36"/>
      <c r="H73" s="36"/>
      <c r="I73" s="4" t="s">
        <v>66</v>
      </c>
    </row>
    <row r="74" spans="2:12" ht="30" customHeight="1" x14ac:dyDescent="0.25">
      <c r="B74" s="247"/>
      <c r="C74" s="88" t="s">
        <v>19</v>
      </c>
      <c r="D74" s="233"/>
      <c r="E74" s="56">
        <f>95+575.4-71-4.9</f>
        <v>594.5</v>
      </c>
      <c r="F74" s="57">
        <v>1209.4000000000001</v>
      </c>
      <c r="G74" s="57">
        <v>1268.8</v>
      </c>
      <c r="H74" s="57">
        <f>1147-887.1</f>
        <v>259.89999999999998</v>
      </c>
      <c r="I74" s="4"/>
      <c r="J74" s="196"/>
      <c r="K74" s="187"/>
      <c r="L74" s="187"/>
    </row>
    <row r="75" spans="2:12" ht="18.600000000000001" customHeight="1" x14ac:dyDescent="0.25">
      <c r="B75" s="247"/>
      <c r="C75" s="224" t="s">
        <v>54</v>
      </c>
      <c r="D75" s="233"/>
      <c r="E75" s="53"/>
      <c r="F75" s="43"/>
      <c r="G75" s="43"/>
      <c r="H75" s="43">
        <v>887.1</v>
      </c>
      <c r="I75" s="4"/>
      <c r="J75" s="196"/>
      <c r="K75" s="187"/>
      <c r="L75" s="187"/>
    </row>
    <row r="76" spans="2:12" ht="19.5" customHeight="1" x14ac:dyDescent="0.25">
      <c r="B76" s="247"/>
      <c r="C76" s="60" t="s">
        <v>20</v>
      </c>
      <c r="D76" s="233"/>
      <c r="E76" s="53"/>
      <c r="F76" s="43"/>
      <c r="G76" s="43"/>
      <c r="H76" s="43"/>
      <c r="I76" s="4"/>
    </row>
    <row r="77" spans="2:12" ht="19.5" customHeight="1" x14ac:dyDescent="0.25">
      <c r="B77" s="247"/>
      <c r="C77" s="90" t="s">
        <v>35</v>
      </c>
      <c r="D77" s="233"/>
      <c r="E77" s="53"/>
      <c r="F77" s="43"/>
      <c r="G77" s="43"/>
      <c r="H77" s="43"/>
      <c r="I77" s="4"/>
      <c r="K77" s="187"/>
    </row>
    <row r="78" spans="2:12" ht="17.25" customHeight="1" x14ac:dyDescent="0.25">
      <c r="B78" s="253"/>
      <c r="C78" s="60" t="s">
        <v>23</v>
      </c>
      <c r="D78" s="234"/>
      <c r="E78" s="53">
        <v>24.6</v>
      </c>
      <c r="F78" s="43"/>
      <c r="G78" s="43"/>
      <c r="H78" s="43"/>
      <c r="I78" s="4"/>
    </row>
    <row r="79" spans="2:12" ht="42" customHeight="1" x14ac:dyDescent="0.25">
      <c r="B79" s="246" t="s">
        <v>67</v>
      </c>
      <c r="C79" s="199" t="s">
        <v>68</v>
      </c>
      <c r="D79" s="232" t="s">
        <v>33</v>
      </c>
      <c r="E79" s="36"/>
      <c r="F79" s="36"/>
      <c r="G79" s="36"/>
      <c r="H79" s="36"/>
      <c r="I79" s="4" t="s">
        <v>34</v>
      </c>
    </row>
    <row r="80" spans="2:12" ht="28.5" customHeight="1" x14ac:dyDescent="0.25">
      <c r="B80" s="247"/>
      <c r="C80" s="88" t="s">
        <v>19</v>
      </c>
      <c r="D80" s="233"/>
      <c r="E80" s="146">
        <f>609.6-200-190-151.7</f>
        <v>67.900000000000034</v>
      </c>
      <c r="F80" s="185">
        <f>140.2+151.7</f>
        <v>291.89999999999998</v>
      </c>
      <c r="G80" s="146"/>
      <c r="H80" s="146"/>
      <c r="I80" s="18"/>
      <c r="J80" s="210"/>
    </row>
    <row r="81" spans="2:11" ht="16.5" customHeight="1" x14ac:dyDescent="0.25">
      <c r="B81" s="247"/>
      <c r="C81" s="60" t="s">
        <v>20</v>
      </c>
      <c r="D81" s="233"/>
      <c r="E81" s="146">
        <f>200+200+190</f>
        <v>590</v>
      </c>
      <c r="F81" s="155"/>
      <c r="G81" s="155"/>
      <c r="H81" s="155"/>
      <c r="I81" s="4"/>
    </row>
    <row r="82" spans="2:11" ht="17.25" customHeight="1" x14ac:dyDescent="0.25">
      <c r="B82" s="253"/>
      <c r="C82" s="90" t="s">
        <v>35</v>
      </c>
      <c r="D82" s="233"/>
      <c r="E82" s="146"/>
      <c r="F82" s="155"/>
      <c r="G82" s="155"/>
      <c r="H82" s="155"/>
      <c r="I82" s="4"/>
    </row>
    <row r="83" spans="2:11" ht="30.75" customHeight="1" x14ac:dyDescent="0.25">
      <c r="B83" s="246"/>
      <c r="C83" s="91" t="s">
        <v>69</v>
      </c>
      <c r="D83" s="233"/>
      <c r="E83" s="155"/>
      <c r="F83" s="155"/>
      <c r="G83" s="155"/>
      <c r="H83" s="155"/>
      <c r="I83" s="4"/>
    </row>
    <row r="84" spans="2:11" ht="30.75" customHeight="1" x14ac:dyDescent="0.25">
      <c r="B84" s="248"/>
      <c r="C84" s="88" t="s">
        <v>19</v>
      </c>
      <c r="D84" s="235"/>
      <c r="E84" s="155">
        <f>100.3-49.9</f>
        <v>50.4</v>
      </c>
      <c r="F84" s="155"/>
      <c r="G84" s="155"/>
      <c r="H84" s="155"/>
      <c r="I84" s="4"/>
    </row>
    <row r="85" spans="2:11" ht="22.5" customHeight="1" x14ac:dyDescent="0.25">
      <c r="B85" s="297" t="s">
        <v>70</v>
      </c>
      <c r="C85" s="87" t="s">
        <v>71</v>
      </c>
      <c r="D85" s="236" t="s">
        <v>231</v>
      </c>
      <c r="E85" s="146"/>
      <c r="F85" s="146"/>
      <c r="G85" s="146"/>
      <c r="H85" s="146"/>
      <c r="I85" s="18"/>
    </row>
    <row r="86" spans="2:11" ht="27" customHeight="1" x14ac:dyDescent="0.25">
      <c r="B86" s="252"/>
      <c r="C86" s="60" t="s">
        <v>19</v>
      </c>
      <c r="D86" s="237"/>
      <c r="E86" s="146"/>
      <c r="F86" s="146"/>
      <c r="G86" s="146">
        <v>610.6</v>
      </c>
      <c r="H86" s="146"/>
      <c r="I86" s="18"/>
    </row>
    <row r="87" spans="2:11" ht="19.2" customHeight="1" x14ac:dyDescent="0.25">
      <c r="B87" s="252"/>
      <c r="C87" s="60" t="s">
        <v>21</v>
      </c>
      <c r="D87" s="233"/>
      <c r="E87" s="146">
        <f>359-357.2</f>
        <v>1.8000000000000114</v>
      </c>
      <c r="F87" s="146"/>
      <c r="G87" s="146"/>
      <c r="H87" s="146"/>
      <c r="I87" s="18"/>
      <c r="J87" s="133"/>
    </row>
    <row r="88" spans="2:11" ht="29.25" customHeight="1" x14ac:dyDescent="0.25">
      <c r="B88" s="246" t="s">
        <v>72</v>
      </c>
      <c r="C88" s="199" t="s">
        <v>73</v>
      </c>
      <c r="D88" s="232" t="s">
        <v>33</v>
      </c>
      <c r="E88" s="155"/>
      <c r="F88" s="155"/>
      <c r="G88" s="155"/>
      <c r="H88" s="155"/>
      <c r="I88" s="4" t="s">
        <v>34</v>
      </c>
    </row>
    <row r="89" spans="2:11" ht="29.25" customHeight="1" x14ac:dyDescent="0.25">
      <c r="B89" s="247"/>
      <c r="C89" s="88" t="s">
        <v>19</v>
      </c>
      <c r="D89" s="233"/>
      <c r="E89" s="146">
        <f>167+190-298.1</f>
        <v>58.899999999999977</v>
      </c>
      <c r="F89" s="185">
        <f>455.1+298.1</f>
        <v>753.2</v>
      </c>
      <c r="G89" s="155"/>
      <c r="H89" s="155"/>
      <c r="I89" s="4"/>
      <c r="K89" s="139"/>
    </row>
    <row r="90" spans="2:11" ht="17.25" customHeight="1" x14ac:dyDescent="0.25">
      <c r="B90" s="247"/>
      <c r="C90" s="88" t="s">
        <v>21</v>
      </c>
      <c r="D90" s="233"/>
      <c r="E90" s="146">
        <f>200-167+140</f>
        <v>173</v>
      </c>
      <c r="F90" s="155"/>
      <c r="G90" s="155"/>
      <c r="H90" s="155"/>
      <c r="I90" s="4"/>
      <c r="K90" s="139"/>
    </row>
    <row r="91" spans="2:11" ht="17.25" customHeight="1" x14ac:dyDescent="0.25">
      <c r="B91" s="247"/>
      <c r="C91" s="60" t="s">
        <v>20</v>
      </c>
      <c r="D91" s="233"/>
      <c r="E91" s="146">
        <f>700-330</f>
        <v>370</v>
      </c>
      <c r="F91" s="155"/>
      <c r="G91" s="155"/>
      <c r="H91" s="155"/>
      <c r="I91" s="4"/>
      <c r="K91" s="139"/>
    </row>
    <row r="92" spans="2:11" ht="17.25" customHeight="1" x14ac:dyDescent="0.25">
      <c r="B92" s="253"/>
      <c r="C92" s="90" t="s">
        <v>35</v>
      </c>
      <c r="D92" s="233"/>
      <c r="E92" s="146"/>
      <c r="F92" s="146">
        <v>1700</v>
      </c>
      <c r="G92" s="146"/>
      <c r="H92" s="146"/>
      <c r="I92" s="4"/>
      <c r="K92" s="139"/>
    </row>
    <row r="93" spans="2:11" ht="33" customHeight="1" x14ac:dyDescent="0.25">
      <c r="B93" s="251" t="s">
        <v>74</v>
      </c>
      <c r="C93" s="87" t="s">
        <v>75</v>
      </c>
      <c r="D93" s="233"/>
      <c r="E93" s="146"/>
      <c r="F93" s="155"/>
      <c r="G93" s="155"/>
      <c r="H93" s="155"/>
      <c r="I93" s="4" t="s">
        <v>76</v>
      </c>
      <c r="J93" s="131"/>
    </row>
    <row r="94" spans="2:11" ht="29.4" customHeight="1" x14ac:dyDescent="0.25">
      <c r="B94" s="252"/>
      <c r="C94" s="60" t="s">
        <v>19</v>
      </c>
      <c r="D94" s="233"/>
      <c r="E94" s="76">
        <f>72-0.2-45</f>
        <v>26.799999999999997</v>
      </c>
      <c r="F94" s="25">
        <v>45</v>
      </c>
      <c r="G94" s="25"/>
      <c r="H94" s="25"/>
      <c r="I94" s="4"/>
    </row>
    <row r="95" spans="2:11" ht="17.25" customHeight="1" x14ac:dyDescent="0.25">
      <c r="B95" s="252"/>
      <c r="C95" s="60" t="s">
        <v>25</v>
      </c>
      <c r="D95" s="233"/>
      <c r="E95" s="25"/>
      <c r="F95" s="25">
        <v>124.3</v>
      </c>
      <c r="G95" s="25"/>
      <c r="H95" s="25"/>
      <c r="I95" s="4"/>
    </row>
    <row r="96" spans="2:11" ht="16.5" customHeight="1" x14ac:dyDescent="0.25">
      <c r="B96" s="252"/>
      <c r="C96" s="60" t="s">
        <v>20</v>
      </c>
      <c r="D96" s="235"/>
      <c r="E96" s="25"/>
      <c r="F96" s="25"/>
      <c r="G96" s="25"/>
      <c r="H96" s="25"/>
      <c r="I96" s="4"/>
    </row>
    <row r="97" spans="2:10" ht="32.25" customHeight="1" x14ac:dyDescent="0.25">
      <c r="B97" s="251"/>
      <c r="C97" s="199" t="s">
        <v>77</v>
      </c>
      <c r="D97" s="239" t="s">
        <v>78</v>
      </c>
      <c r="E97" s="58"/>
      <c r="F97" s="36"/>
      <c r="G97" s="25"/>
      <c r="H97" s="25"/>
      <c r="I97" s="4" t="s">
        <v>79</v>
      </c>
    </row>
    <row r="98" spans="2:10" ht="29.25" customHeight="1" x14ac:dyDescent="0.25">
      <c r="B98" s="252"/>
      <c r="C98" s="215" t="s">
        <v>19</v>
      </c>
      <c r="D98" s="236"/>
      <c r="E98" s="58"/>
      <c r="F98" s="36"/>
      <c r="G98" s="25"/>
      <c r="H98" s="25"/>
      <c r="I98" s="4"/>
      <c r="J98" s="133"/>
    </row>
    <row r="99" spans="2:10" ht="20.25" customHeight="1" x14ac:dyDescent="0.25">
      <c r="B99" s="265"/>
      <c r="C99" s="167" t="s">
        <v>22</v>
      </c>
      <c r="D99" s="245"/>
      <c r="E99" s="58">
        <f>2321.8-1121.8</f>
        <v>1200.0000000000002</v>
      </c>
      <c r="F99" s="58"/>
      <c r="G99" s="25"/>
      <c r="H99" s="25"/>
      <c r="I99" s="4"/>
    </row>
    <row r="100" spans="2:10" ht="32.25" customHeight="1" x14ac:dyDescent="0.25">
      <c r="B100" s="251" t="s">
        <v>80</v>
      </c>
      <c r="C100" s="199" t="s">
        <v>81</v>
      </c>
      <c r="D100" s="226" t="s">
        <v>82</v>
      </c>
      <c r="E100" s="25"/>
      <c r="F100" s="25"/>
      <c r="G100" s="25"/>
      <c r="H100" s="25"/>
      <c r="I100" s="4" t="s">
        <v>83</v>
      </c>
    </row>
    <row r="101" spans="2:10" ht="29.25" customHeight="1" x14ac:dyDescent="0.25">
      <c r="B101" s="252"/>
      <c r="C101" s="88" t="s">
        <v>19</v>
      </c>
      <c r="D101" s="227"/>
      <c r="E101" s="36">
        <v>161.6</v>
      </c>
      <c r="F101" s="58">
        <f>1400-161.7</f>
        <v>1238.3</v>
      </c>
      <c r="G101" s="36"/>
      <c r="H101" s="36"/>
      <c r="I101" s="18"/>
    </row>
    <row r="102" spans="2:10" ht="20.25" customHeight="1" x14ac:dyDescent="0.25">
      <c r="B102" s="260"/>
      <c r="C102" s="88" t="s">
        <v>21</v>
      </c>
      <c r="D102" s="227"/>
      <c r="E102" s="36">
        <v>300</v>
      </c>
      <c r="F102" s="36"/>
      <c r="G102" s="36"/>
      <c r="H102" s="36"/>
      <c r="I102" s="18"/>
    </row>
    <row r="103" spans="2:10" ht="42.75" customHeight="1" x14ac:dyDescent="0.25">
      <c r="B103" s="251" t="s">
        <v>84</v>
      </c>
      <c r="C103" s="199" t="s">
        <v>85</v>
      </c>
      <c r="D103" s="227"/>
      <c r="E103" s="25"/>
      <c r="F103" s="25"/>
      <c r="G103" s="25"/>
      <c r="H103" s="25"/>
      <c r="I103" s="4"/>
    </row>
    <row r="104" spans="2:10" ht="29.25" customHeight="1" x14ac:dyDescent="0.25">
      <c r="B104" s="252"/>
      <c r="C104" s="60" t="s">
        <v>19</v>
      </c>
      <c r="D104" s="227"/>
      <c r="E104" s="25">
        <f>40-12.9</f>
        <v>27.1</v>
      </c>
      <c r="F104" s="36">
        <f>25+8.1</f>
        <v>33.1</v>
      </c>
      <c r="G104" s="25"/>
      <c r="H104" s="25"/>
      <c r="I104" s="4"/>
    </row>
    <row r="105" spans="2:10" ht="42" customHeight="1" x14ac:dyDescent="0.25">
      <c r="B105" s="246" t="s">
        <v>86</v>
      </c>
      <c r="C105" s="87" t="s">
        <v>87</v>
      </c>
      <c r="D105" s="227"/>
      <c r="E105" s="25"/>
      <c r="F105" s="25"/>
      <c r="G105" s="25"/>
      <c r="H105" s="25"/>
      <c r="I105" s="4"/>
    </row>
    <row r="106" spans="2:10" ht="29.25" customHeight="1" x14ac:dyDescent="0.25">
      <c r="B106" s="247"/>
      <c r="C106" s="88" t="s">
        <v>19</v>
      </c>
      <c r="D106" s="227"/>
      <c r="E106" s="36"/>
      <c r="F106" s="36">
        <f>500-100</f>
        <v>400</v>
      </c>
      <c r="G106" s="58">
        <v>3000</v>
      </c>
      <c r="H106" s="36">
        <f>700+100</f>
        <v>800</v>
      </c>
      <c r="I106" s="4"/>
    </row>
    <row r="107" spans="2:10" ht="15" customHeight="1" x14ac:dyDescent="0.25">
      <c r="B107" s="246"/>
      <c r="C107" s="87" t="s">
        <v>88</v>
      </c>
      <c r="D107" s="227"/>
      <c r="E107" s="25"/>
      <c r="F107" s="25"/>
      <c r="G107" s="25"/>
      <c r="H107" s="25"/>
      <c r="I107" s="18"/>
    </row>
    <row r="108" spans="2:10" ht="30.6" customHeight="1" x14ac:dyDescent="0.25">
      <c r="B108" s="247"/>
      <c r="C108" s="88" t="s">
        <v>19</v>
      </c>
      <c r="D108" s="227"/>
      <c r="E108" s="36"/>
      <c r="F108" s="25"/>
      <c r="G108" s="25"/>
      <c r="H108" s="25"/>
      <c r="I108" s="4"/>
    </row>
    <row r="109" spans="2:10" ht="19.5" customHeight="1" x14ac:dyDescent="0.25">
      <c r="B109" s="253"/>
      <c r="C109" s="60" t="s">
        <v>21</v>
      </c>
      <c r="D109" s="227"/>
      <c r="E109" s="36">
        <v>6.6</v>
      </c>
      <c r="F109" s="25"/>
      <c r="G109" s="25"/>
      <c r="H109" s="25"/>
      <c r="I109" s="4"/>
    </row>
    <row r="110" spans="2:10" ht="32.25" customHeight="1" x14ac:dyDescent="0.25">
      <c r="B110" s="251" t="s">
        <v>89</v>
      </c>
      <c r="C110" s="95" t="s">
        <v>90</v>
      </c>
      <c r="D110" s="227"/>
      <c r="E110" s="25"/>
      <c r="F110" s="25"/>
      <c r="G110" s="25"/>
      <c r="H110" s="25"/>
      <c r="I110" s="18"/>
    </row>
    <row r="111" spans="2:10" ht="29.25" customHeight="1" x14ac:dyDescent="0.25">
      <c r="B111" s="252"/>
      <c r="C111" s="90" t="s">
        <v>19</v>
      </c>
      <c r="D111" s="228"/>
      <c r="E111" s="25"/>
      <c r="F111" s="36"/>
      <c r="G111" s="36">
        <f>310+40</f>
        <v>350</v>
      </c>
      <c r="H111" s="25"/>
      <c r="I111" s="4"/>
    </row>
    <row r="112" spans="2:10" ht="18.75" customHeight="1" x14ac:dyDescent="0.25">
      <c r="B112" s="257" t="s">
        <v>91</v>
      </c>
      <c r="C112" s="96" t="s">
        <v>92</v>
      </c>
      <c r="D112" s="232" t="s">
        <v>48</v>
      </c>
      <c r="E112" s="76"/>
      <c r="F112" s="76"/>
      <c r="G112" s="76"/>
      <c r="H112" s="76"/>
      <c r="I112" s="75"/>
    </row>
    <row r="113" spans="1:11" ht="27" customHeight="1" x14ac:dyDescent="0.25">
      <c r="B113" s="258"/>
      <c r="C113" s="97" t="s">
        <v>19</v>
      </c>
      <c r="D113" s="233"/>
      <c r="E113" s="76"/>
      <c r="F113" s="58">
        <v>400</v>
      </c>
      <c r="G113" s="58">
        <v>402</v>
      </c>
      <c r="H113" s="58">
        <v>402</v>
      </c>
      <c r="I113" s="75"/>
    </row>
    <row r="114" spans="1:11" ht="18" customHeight="1" x14ac:dyDescent="0.25">
      <c r="B114" s="259"/>
      <c r="C114" s="60" t="s">
        <v>21</v>
      </c>
      <c r="D114" s="234"/>
      <c r="E114" s="76">
        <v>400</v>
      </c>
      <c r="F114" s="76"/>
      <c r="G114" s="76"/>
      <c r="H114" s="76"/>
      <c r="I114" s="75"/>
    </row>
    <row r="115" spans="1:11" ht="28.95" customHeight="1" x14ac:dyDescent="0.25">
      <c r="B115" s="257" t="s">
        <v>93</v>
      </c>
      <c r="C115" s="96" t="s">
        <v>94</v>
      </c>
      <c r="D115" s="238" t="s">
        <v>232</v>
      </c>
      <c r="E115" s="76"/>
      <c r="F115" s="76"/>
      <c r="G115" s="76"/>
      <c r="H115" s="76"/>
      <c r="I115" s="75" t="s">
        <v>95</v>
      </c>
      <c r="J115" s="133"/>
    </row>
    <row r="116" spans="1:11" ht="31.2" customHeight="1" x14ac:dyDescent="0.25">
      <c r="B116" s="258"/>
      <c r="C116" s="97" t="s">
        <v>19</v>
      </c>
      <c r="D116" s="234"/>
      <c r="E116" s="76"/>
      <c r="F116" s="76"/>
      <c r="G116" s="76"/>
      <c r="H116" s="76"/>
      <c r="I116" s="75"/>
    </row>
    <row r="117" spans="1:11" ht="28.2" customHeight="1" x14ac:dyDescent="0.25">
      <c r="B117" s="254"/>
      <c r="C117" s="110" t="s">
        <v>96</v>
      </c>
      <c r="D117" s="232" t="s">
        <v>27</v>
      </c>
      <c r="E117" s="146"/>
      <c r="F117" s="146"/>
      <c r="G117" s="146"/>
      <c r="H117" s="146"/>
      <c r="I117" s="75"/>
    </row>
    <row r="118" spans="1:11" ht="20.399999999999999" customHeight="1" x14ac:dyDescent="0.25">
      <c r="B118" s="255"/>
      <c r="C118" s="60" t="s">
        <v>21</v>
      </c>
      <c r="D118" s="234"/>
      <c r="E118" s="146">
        <f>0.7+0.3</f>
        <v>1</v>
      </c>
      <c r="F118" s="146"/>
      <c r="G118" s="146"/>
      <c r="H118" s="146"/>
      <c r="I118" s="75"/>
    </row>
    <row r="119" spans="1:11" ht="32.4" customHeight="1" x14ac:dyDescent="0.25">
      <c r="B119" s="254" t="s">
        <v>97</v>
      </c>
      <c r="C119" s="96" t="s">
        <v>98</v>
      </c>
      <c r="D119" s="232" t="s">
        <v>99</v>
      </c>
      <c r="E119" s="146"/>
      <c r="F119" s="146"/>
      <c r="G119" s="146"/>
      <c r="H119" s="146"/>
      <c r="I119" s="75"/>
    </row>
    <row r="120" spans="1:11" ht="30" customHeight="1" x14ac:dyDescent="0.25">
      <c r="B120" s="255"/>
      <c r="C120" s="97" t="s">
        <v>19</v>
      </c>
      <c r="D120" s="233"/>
      <c r="E120" s="146"/>
      <c r="F120" s="146">
        <v>38</v>
      </c>
      <c r="G120" s="146">
        <v>332</v>
      </c>
      <c r="H120" s="146"/>
      <c r="I120" s="75"/>
    </row>
    <row r="121" spans="1:11" ht="27.6" customHeight="1" x14ac:dyDescent="0.25">
      <c r="B121" s="254" t="s">
        <v>100</v>
      </c>
      <c r="C121" s="96" t="s">
        <v>101</v>
      </c>
      <c r="D121" s="233"/>
      <c r="E121" s="146"/>
      <c r="F121" s="146"/>
      <c r="G121" s="146"/>
      <c r="H121" s="146"/>
      <c r="I121" s="75"/>
      <c r="J121" s="174"/>
      <c r="K121" s="133"/>
    </row>
    <row r="122" spans="1:11" ht="17.25" customHeight="1" x14ac:dyDescent="0.25">
      <c r="B122" s="255"/>
      <c r="C122" s="60" t="s">
        <v>20</v>
      </c>
      <c r="D122" s="233"/>
      <c r="E122" s="146">
        <v>60</v>
      </c>
      <c r="F122" s="146"/>
      <c r="G122" s="146"/>
      <c r="H122" s="146"/>
      <c r="I122" s="75"/>
      <c r="J122" s="174"/>
      <c r="K122" s="133"/>
    </row>
    <row r="123" spans="1:11" ht="18" customHeight="1" x14ac:dyDescent="0.25">
      <c r="B123" s="256"/>
      <c r="C123" s="167" t="s">
        <v>22</v>
      </c>
      <c r="D123" s="233"/>
      <c r="E123" s="146"/>
      <c r="F123" s="195">
        <v>1208.7</v>
      </c>
      <c r="G123" s="146"/>
      <c r="H123" s="146"/>
      <c r="I123" s="75"/>
      <c r="J123" s="174"/>
      <c r="K123" s="139"/>
    </row>
    <row r="124" spans="1:11" ht="42.75" customHeight="1" x14ac:dyDescent="0.25">
      <c r="B124" s="216" t="s">
        <v>102</v>
      </c>
      <c r="C124" s="87" t="s">
        <v>103</v>
      </c>
      <c r="D124" s="233"/>
      <c r="E124" s="211"/>
      <c r="F124" s="212"/>
      <c r="G124" s="211"/>
      <c r="H124" s="211"/>
      <c r="I124" s="213"/>
      <c r="J124" s="214"/>
    </row>
    <row r="125" spans="1:11" ht="18" customHeight="1" x14ac:dyDescent="0.25">
      <c r="B125" s="216"/>
      <c r="C125" s="60" t="s">
        <v>20</v>
      </c>
      <c r="D125" s="233"/>
      <c r="E125" s="211"/>
      <c r="F125" s="212"/>
      <c r="G125" s="211"/>
      <c r="H125" s="211"/>
      <c r="I125" s="213"/>
      <c r="J125" s="214"/>
    </row>
    <row r="126" spans="1:11" ht="18" customHeight="1" x14ac:dyDescent="0.25">
      <c r="B126" s="216"/>
      <c r="C126" s="167" t="s">
        <v>22</v>
      </c>
      <c r="D126" s="233"/>
      <c r="E126" s="211"/>
      <c r="F126" s="212">
        <v>60</v>
      </c>
      <c r="G126" s="211"/>
      <c r="H126" s="211"/>
      <c r="I126" s="213"/>
      <c r="J126" s="214"/>
    </row>
    <row r="127" spans="1:11" ht="16.5" customHeight="1" x14ac:dyDescent="0.25">
      <c r="A127" s="38"/>
      <c r="B127" s="254" t="s">
        <v>104</v>
      </c>
      <c r="C127" s="200" t="s">
        <v>105</v>
      </c>
      <c r="D127" s="233"/>
      <c r="E127" s="189" t="s">
        <v>106</v>
      </c>
      <c r="F127" s="189" t="s">
        <v>106</v>
      </c>
      <c r="G127" s="189" t="s">
        <v>106</v>
      </c>
      <c r="H127" s="189" t="s">
        <v>106</v>
      </c>
      <c r="I127" s="190" t="s">
        <v>106</v>
      </c>
    </row>
    <row r="128" spans="1:11" ht="27.75" customHeight="1" x14ac:dyDescent="0.25">
      <c r="A128" s="38"/>
      <c r="B128" s="255"/>
      <c r="C128" s="201" t="s">
        <v>19</v>
      </c>
      <c r="D128" s="233"/>
      <c r="E128" s="191" t="s">
        <v>106</v>
      </c>
      <c r="F128" s="192">
        <v>30</v>
      </c>
      <c r="G128" s="192">
        <v>70</v>
      </c>
      <c r="H128" s="191" t="s">
        <v>106</v>
      </c>
      <c r="I128" s="188" t="s">
        <v>106</v>
      </c>
    </row>
    <row r="129" spans="1:10" ht="29.25" customHeight="1" x14ac:dyDescent="0.25">
      <c r="A129" s="38"/>
      <c r="B129" s="254" t="s">
        <v>107</v>
      </c>
      <c r="C129" s="202" t="s">
        <v>108</v>
      </c>
      <c r="D129" s="233"/>
      <c r="E129" s="191" t="s">
        <v>106</v>
      </c>
      <c r="F129" s="191" t="s">
        <v>106</v>
      </c>
      <c r="G129" s="191" t="s">
        <v>106</v>
      </c>
      <c r="H129" s="191" t="s">
        <v>106</v>
      </c>
      <c r="I129" s="188" t="s">
        <v>106</v>
      </c>
      <c r="J129" s="133"/>
    </row>
    <row r="130" spans="1:10" ht="19.5" customHeight="1" x14ac:dyDescent="0.25">
      <c r="A130" s="38"/>
      <c r="B130" s="256"/>
      <c r="C130" s="88" t="s">
        <v>25</v>
      </c>
      <c r="D130" s="234"/>
      <c r="E130" s="191" t="s">
        <v>106</v>
      </c>
      <c r="F130" s="150">
        <v>70</v>
      </c>
      <c r="G130" s="150">
        <v>130</v>
      </c>
      <c r="H130" s="191" t="s">
        <v>106</v>
      </c>
      <c r="I130" s="188" t="s">
        <v>106</v>
      </c>
    </row>
    <row r="131" spans="1:10" ht="20.25" customHeight="1" x14ac:dyDescent="0.25">
      <c r="A131" s="38"/>
      <c r="B131" s="254" t="s">
        <v>109</v>
      </c>
      <c r="C131" s="96" t="s">
        <v>110</v>
      </c>
      <c r="D131" s="232" t="s">
        <v>99</v>
      </c>
      <c r="E131" s="191"/>
      <c r="F131" s="150"/>
      <c r="G131" s="150"/>
      <c r="H131" s="191"/>
      <c r="I131" s="188"/>
    </row>
    <row r="132" spans="1:10" ht="32.25" customHeight="1" x14ac:dyDescent="0.25">
      <c r="A132" s="38"/>
      <c r="B132" s="256"/>
      <c r="C132" s="97" t="s">
        <v>19</v>
      </c>
      <c r="D132" s="234"/>
      <c r="E132" s="191"/>
      <c r="F132" s="150"/>
      <c r="G132" s="150"/>
      <c r="H132" s="191"/>
      <c r="I132" s="188"/>
    </row>
    <row r="133" spans="1:10" ht="19.5" customHeight="1" x14ac:dyDescent="0.25">
      <c r="B133" s="19"/>
      <c r="C133" s="98" t="s">
        <v>111</v>
      </c>
      <c r="D133" s="98"/>
      <c r="E133" s="29">
        <f>+E135+E136+E137+E138+E139</f>
        <v>13277.800000000001</v>
      </c>
      <c r="F133" s="29">
        <f t="shared" ref="F133:H133" si="0">+F135+F136+F137+F138+F139</f>
        <v>11488.300000000001</v>
      </c>
      <c r="G133" s="29">
        <f t="shared" si="0"/>
        <v>15338.4</v>
      </c>
      <c r="H133" s="29">
        <f t="shared" si="0"/>
        <v>7066.9000000000005</v>
      </c>
      <c r="I133" s="20"/>
    </row>
    <row r="134" spans="1:10" ht="17.25" customHeight="1" x14ac:dyDescent="0.25">
      <c r="B134" s="277"/>
      <c r="C134" s="87" t="s">
        <v>112</v>
      </c>
      <c r="D134" s="95"/>
      <c r="E134" s="69"/>
      <c r="F134" s="28"/>
      <c r="G134" s="28"/>
      <c r="H134" s="28"/>
      <c r="I134" s="17"/>
    </row>
    <row r="135" spans="1:10" ht="33" customHeight="1" x14ac:dyDescent="0.25">
      <c r="B135" s="278"/>
      <c r="C135" s="91" t="s">
        <v>113</v>
      </c>
      <c r="D135" s="91"/>
      <c r="E135" s="30">
        <f>SUMIF($C9:$C132,$C10,E9:E132)</f>
        <v>4823.7</v>
      </c>
      <c r="F135" s="30">
        <f>SUMIF($C9:$C132,$C10,F9:F132)</f>
        <v>11311.7</v>
      </c>
      <c r="G135" s="30">
        <f>SUMIF($C9:$C132,$C10,G9:G132)</f>
        <v>15338.4</v>
      </c>
      <c r="H135" s="30">
        <f>SUMIF($C9:$C132,$C10,H9:H132)</f>
        <v>6179.8</v>
      </c>
      <c r="I135" s="5"/>
    </row>
    <row r="136" spans="1:10" ht="20.25" customHeight="1" x14ac:dyDescent="0.25">
      <c r="B136" s="278"/>
      <c r="C136" s="87" t="s">
        <v>114</v>
      </c>
      <c r="D136" s="87"/>
      <c r="E136" s="30">
        <f>SUMIF($C9:$C132,$C11,E9:E132)</f>
        <v>5072.3</v>
      </c>
      <c r="F136" s="30">
        <f>SUMIF($C9:$C132,$C11,F9:F132)</f>
        <v>0</v>
      </c>
      <c r="G136" s="30">
        <f>SUMIF($C9:$C132,$C11,G9:G132)</f>
        <v>0</v>
      </c>
      <c r="H136" s="30">
        <f>SUMIF($C9:$C132,$C11,H9:H132)</f>
        <v>0</v>
      </c>
      <c r="I136" s="5"/>
    </row>
    <row r="137" spans="1:10" ht="28.2" customHeight="1" x14ac:dyDescent="0.25">
      <c r="B137" s="278"/>
      <c r="C137" s="173" t="s">
        <v>115</v>
      </c>
      <c r="D137" s="122"/>
      <c r="E137" s="30">
        <f>SUMIF($C9:$C132,$C18,E9:E132)</f>
        <v>409.70000000000005</v>
      </c>
      <c r="F137" s="30">
        <f>SUMIF($C9:$C132,$C18,F9:F132)</f>
        <v>0</v>
      </c>
      <c r="G137" s="30">
        <f>SUMIF($C9:$C132,$C18,G9:G132)</f>
        <v>0</v>
      </c>
      <c r="H137" s="30">
        <f>SUMIF($C9:$C132,$C18,H9:H132)</f>
        <v>0</v>
      </c>
      <c r="I137" s="5"/>
    </row>
    <row r="138" spans="1:10" ht="16.5" customHeight="1" x14ac:dyDescent="0.25">
      <c r="B138" s="278"/>
      <c r="C138" s="91" t="s">
        <v>116</v>
      </c>
      <c r="D138" s="91"/>
      <c r="E138" s="30">
        <f>SUMIF($C9:$C132,$C12,E9:E132)</f>
        <v>2722.1</v>
      </c>
      <c r="F138" s="30">
        <f>SUMIF($C9:$C132,$C12,F9:F132)</f>
        <v>176.6</v>
      </c>
      <c r="G138" s="30">
        <f>SUMIF($C9:$C132,$C12,G9:G132)</f>
        <v>0</v>
      </c>
      <c r="H138" s="30">
        <f>SUMIF($C9:$C132,$C12,H9:H132)</f>
        <v>0</v>
      </c>
      <c r="I138" s="5"/>
    </row>
    <row r="139" spans="1:10" ht="16.5" customHeight="1" x14ac:dyDescent="0.25">
      <c r="B139" s="279"/>
      <c r="C139" s="162" t="s">
        <v>117</v>
      </c>
      <c r="D139" s="87"/>
      <c r="E139" s="30">
        <f>SUMIF($C9:$C132,$C54,E9:E132)</f>
        <v>250</v>
      </c>
      <c r="F139" s="30">
        <f>SUMIF($C9:$C132,$C54,F9:F132)</f>
        <v>0</v>
      </c>
      <c r="G139" s="30">
        <f>SUMIF($C9:$C132,$C54,G9:G132)</f>
        <v>0</v>
      </c>
      <c r="H139" s="30">
        <f>SUMIF($C9:$C132,$C54,H9:H132)</f>
        <v>887.1</v>
      </c>
      <c r="I139" s="5"/>
    </row>
    <row r="140" spans="1:10" ht="17.25" customHeight="1" x14ac:dyDescent="0.25">
      <c r="B140" s="19"/>
      <c r="C140" s="169" t="s">
        <v>118</v>
      </c>
      <c r="D140" s="99"/>
      <c r="E140" s="29">
        <f t="shared" ref="E140" si="1">+E143+E144+E145+E146+E142</f>
        <v>1340.1000000000001</v>
      </c>
      <c r="F140" s="29">
        <f t="shared" ref="F140:H140" si="2">+F143+F144+F145+F146+F142</f>
        <v>5502.3</v>
      </c>
      <c r="G140" s="29">
        <f t="shared" si="2"/>
        <v>5860</v>
      </c>
      <c r="H140" s="29">
        <f t="shared" si="2"/>
        <v>5703.4</v>
      </c>
      <c r="I140" s="20"/>
    </row>
    <row r="141" spans="1:10" ht="15" customHeight="1" x14ac:dyDescent="0.25">
      <c r="B141" s="277"/>
      <c r="C141" s="87" t="s">
        <v>119</v>
      </c>
      <c r="D141" s="87"/>
      <c r="E141" s="28"/>
      <c r="F141" s="28"/>
      <c r="G141" s="28"/>
      <c r="H141" s="28"/>
      <c r="I141" s="17"/>
    </row>
    <row r="142" spans="1:10" ht="15" customHeight="1" x14ac:dyDescent="0.25">
      <c r="B142" s="278"/>
      <c r="C142" s="168" t="s">
        <v>120</v>
      </c>
      <c r="D142" s="87"/>
      <c r="E142" s="30">
        <f>SUMIF($C9:$C132,$C43,E9:E132)</f>
        <v>0</v>
      </c>
      <c r="F142" s="30">
        <f>SUMIF($C9:$C132,$C43,F9:F132)</f>
        <v>3510</v>
      </c>
      <c r="G142" s="30">
        <f>SUMIF($C9:$C132,$C43,G9:G132)</f>
        <v>3930</v>
      </c>
      <c r="H142" s="30">
        <f>SUMIF($C9:$C132,$C43,H9:H132)</f>
        <v>3710</v>
      </c>
      <c r="I142" s="17"/>
    </row>
    <row r="143" spans="1:10" ht="15" customHeight="1" x14ac:dyDescent="0.25">
      <c r="B143" s="278"/>
      <c r="C143" s="100" t="s">
        <v>121</v>
      </c>
      <c r="D143" s="101"/>
      <c r="E143" s="30">
        <f>SUMIF($C9:$C132,$C36,E9:E132)</f>
        <v>140.1</v>
      </c>
      <c r="F143" s="30">
        <f>SUMIF($C9:$C132,$C36,F9:F132)</f>
        <v>529.29999999999995</v>
      </c>
      <c r="G143" s="30">
        <f>SUMIF($C9:$C132,$C36,G9:G132)</f>
        <v>0</v>
      </c>
      <c r="H143" s="30">
        <f>SUMIF($C9:$C132,$C36,H9:H132)</f>
        <v>0</v>
      </c>
      <c r="I143" s="17"/>
    </row>
    <row r="144" spans="1:10" ht="15" customHeight="1" x14ac:dyDescent="0.25">
      <c r="B144" s="278"/>
      <c r="C144" s="91" t="s">
        <v>122</v>
      </c>
      <c r="D144" s="91"/>
      <c r="E144" s="30">
        <f>SUMIF($C9:$C132,$C95,E9:E132)</f>
        <v>0</v>
      </c>
      <c r="F144" s="30">
        <f>SUMIF($C9:$C132,$C95,F9:F132)</f>
        <v>194.3</v>
      </c>
      <c r="G144" s="30">
        <f>SUMIF($C9:$C132,$C95,G9:G132)</f>
        <v>130</v>
      </c>
      <c r="H144" s="30">
        <f>SUMIF($C9:$C132,$C95,H9:H132)</f>
        <v>0</v>
      </c>
      <c r="I144" s="17"/>
    </row>
    <row r="145" spans="2:14" ht="15" customHeight="1" x14ac:dyDescent="0.25">
      <c r="B145" s="278"/>
      <c r="C145" s="101" t="s">
        <v>123</v>
      </c>
      <c r="D145" s="101"/>
      <c r="E145" s="30">
        <f>SUMIF($C9:$C132,#REF!,E9:E132)</f>
        <v>0</v>
      </c>
      <c r="F145" s="30">
        <f>SUMIF($C9:$C132,#REF!,F9:F132)</f>
        <v>0</v>
      </c>
      <c r="G145" s="30">
        <f>SUMIF($C9:$C132,#REF!,G9:G132)</f>
        <v>0</v>
      </c>
      <c r="H145" s="30">
        <f>SUMIF($C9:$C132,#REF!,H9:H132)</f>
        <v>0</v>
      </c>
      <c r="I145" s="17"/>
    </row>
    <row r="146" spans="2:14" ht="15" customHeight="1" x14ac:dyDescent="0.25">
      <c r="B146" s="279"/>
      <c r="C146" s="101" t="s">
        <v>124</v>
      </c>
      <c r="D146" s="101"/>
      <c r="E146" s="61">
        <f>SUMIF($C9:$C132,$C99,E9:E132)</f>
        <v>1200.0000000000002</v>
      </c>
      <c r="F146" s="61">
        <f>SUMIF($C9:$C132,$C99,F9:F132)</f>
        <v>1268.7</v>
      </c>
      <c r="G146" s="61">
        <f>SUMIF($C9:$C132,$C99,G9:G132)</f>
        <v>1800</v>
      </c>
      <c r="H146" s="61">
        <f>SUMIF($C9:$C132,$C99,H9:H132)</f>
        <v>1993.4</v>
      </c>
      <c r="I146" s="17"/>
      <c r="J146" s="139"/>
      <c r="K146" s="139"/>
      <c r="L146" s="139"/>
      <c r="M146" s="139"/>
      <c r="N146" s="139"/>
    </row>
    <row r="147" spans="2:14" ht="28.5" customHeight="1" x14ac:dyDescent="0.25">
      <c r="B147" s="12" t="s">
        <v>125</v>
      </c>
      <c r="C147" s="85" t="s">
        <v>126</v>
      </c>
      <c r="D147" s="163"/>
      <c r="E147" s="62"/>
      <c r="F147" s="62"/>
      <c r="G147" s="62"/>
      <c r="H147" s="62"/>
      <c r="I147" s="13"/>
      <c r="K147" s="139"/>
      <c r="L147" s="139"/>
      <c r="M147" s="139"/>
      <c r="N147" s="139"/>
    </row>
    <row r="148" spans="2:14" ht="30" customHeight="1" x14ac:dyDescent="0.25">
      <c r="B148" s="14" t="s">
        <v>127</v>
      </c>
      <c r="C148" s="86" t="s">
        <v>128</v>
      </c>
      <c r="D148" s="86"/>
      <c r="E148" s="31"/>
      <c r="F148" s="31"/>
      <c r="G148" s="31"/>
      <c r="H148" s="31"/>
      <c r="I148" s="15"/>
    </row>
    <row r="149" spans="2:14" ht="18.75" customHeight="1" x14ac:dyDescent="0.25">
      <c r="B149" s="246" t="s">
        <v>129</v>
      </c>
      <c r="C149" s="91" t="s">
        <v>130</v>
      </c>
      <c r="D149" s="229" t="s">
        <v>131</v>
      </c>
      <c r="E149" s="7"/>
      <c r="F149" s="7"/>
      <c r="G149" s="7"/>
      <c r="H149" s="7"/>
      <c r="I149" s="3"/>
    </row>
    <row r="150" spans="2:14" ht="28.5" customHeight="1" x14ac:dyDescent="0.25">
      <c r="B150" s="247"/>
      <c r="C150" s="88" t="s">
        <v>19</v>
      </c>
      <c r="D150" s="230"/>
      <c r="E150" s="36">
        <f>638.5+503.4</f>
        <v>1141.9000000000001</v>
      </c>
      <c r="F150" s="36">
        <v>9645</v>
      </c>
      <c r="G150" s="36"/>
      <c r="H150" s="36">
        <f>9930-5433.9</f>
        <v>4496.1000000000004</v>
      </c>
      <c r="I150" s="3"/>
    </row>
    <row r="151" spans="2:14" ht="17.25" customHeight="1" x14ac:dyDescent="0.25">
      <c r="B151" s="261"/>
      <c r="C151" s="88" t="s">
        <v>21</v>
      </c>
      <c r="D151" s="230"/>
      <c r="E151" s="36">
        <f>8200.9+921.5</f>
        <v>9122.4</v>
      </c>
      <c r="F151" s="36"/>
      <c r="G151" s="36">
        <v>9820</v>
      </c>
      <c r="H151" s="36">
        <v>5433.9</v>
      </c>
      <c r="I151" s="5"/>
      <c r="J151" s="139"/>
      <c r="K151" s="139"/>
      <c r="L151" s="139"/>
      <c r="M151" s="139"/>
    </row>
    <row r="152" spans="2:14" ht="54" customHeight="1" x14ac:dyDescent="0.25">
      <c r="B152" s="251" t="s">
        <v>132</v>
      </c>
      <c r="C152" s="102" t="s">
        <v>133</v>
      </c>
      <c r="D152" s="230"/>
      <c r="E152" s="25"/>
      <c r="F152" s="36"/>
      <c r="G152" s="36"/>
      <c r="H152" s="36"/>
      <c r="I152" s="4"/>
    </row>
    <row r="153" spans="2:14" ht="27" customHeight="1" x14ac:dyDescent="0.25">
      <c r="B153" s="252"/>
      <c r="C153" s="60" t="s">
        <v>19</v>
      </c>
      <c r="D153" s="230"/>
      <c r="E153" s="204">
        <v>965.3</v>
      </c>
      <c r="F153" s="55">
        <v>2300</v>
      </c>
      <c r="G153" s="55">
        <v>619.6</v>
      </c>
      <c r="H153" s="55">
        <v>3900</v>
      </c>
      <c r="I153" s="5"/>
    </row>
    <row r="154" spans="2:14" ht="16.5" customHeight="1" x14ac:dyDescent="0.25">
      <c r="B154" s="260"/>
      <c r="C154" s="60" t="s">
        <v>21</v>
      </c>
      <c r="D154" s="230"/>
      <c r="E154" s="58">
        <f>1777-171-606+88.9</f>
        <v>1088.9000000000001</v>
      </c>
      <c r="F154" s="55"/>
      <c r="G154" s="55">
        <f>3700-619.6</f>
        <v>3080.4</v>
      </c>
      <c r="H154" s="55"/>
      <c r="I154" s="5"/>
    </row>
    <row r="155" spans="2:14" ht="42.75" customHeight="1" x14ac:dyDescent="0.25">
      <c r="B155" s="251"/>
      <c r="C155" s="102" t="s">
        <v>134</v>
      </c>
      <c r="D155" s="230"/>
      <c r="E155" s="25"/>
      <c r="F155" s="25"/>
      <c r="G155" s="25"/>
      <c r="H155" s="25"/>
      <c r="I155" s="4"/>
    </row>
    <row r="156" spans="2:14" ht="27.9" customHeight="1" x14ac:dyDescent="0.25">
      <c r="B156" s="252"/>
      <c r="C156" s="60" t="s">
        <v>19</v>
      </c>
      <c r="D156" s="230"/>
      <c r="E156" s="36"/>
      <c r="F156" s="25"/>
      <c r="G156" s="25"/>
      <c r="H156" s="25"/>
      <c r="I156" s="5"/>
    </row>
    <row r="157" spans="2:14" ht="18.75" customHeight="1" x14ac:dyDescent="0.25">
      <c r="B157" s="261"/>
      <c r="C157" s="60" t="s">
        <v>21</v>
      </c>
      <c r="D157" s="230"/>
      <c r="E157" s="36">
        <f>370.2-88.9</f>
        <v>281.29999999999995</v>
      </c>
      <c r="F157" s="59"/>
      <c r="G157" s="66"/>
      <c r="H157" s="66"/>
      <c r="I157" s="5"/>
    </row>
    <row r="158" spans="2:14" ht="42.6" customHeight="1" x14ac:dyDescent="0.25">
      <c r="B158" s="251" t="s">
        <v>135</v>
      </c>
      <c r="C158" s="103" t="s">
        <v>136</v>
      </c>
      <c r="D158" s="230"/>
      <c r="E158" s="54" t="s">
        <v>106</v>
      </c>
      <c r="F158" s="55"/>
      <c r="G158" s="67"/>
      <c r="H158" s="67"/>
      <c r="I158" s="4"/>
    </row>
    <row r="159" spans="2:14" ht="30" customHeight="1" x14ac:dyDescent="0.25">
      <c r="B159" s="265"/>
      <c r="C159" s="60" t="s">
        <v>19</v>
      </c>
      <c r="D159" s="230"/>
      <c r="E159" s="54">
        <f>1112.3-668.7</f>
        <v>443.59999999999991</v>
      </c>
      <c r="F159" s="55">
        <v>619.20000000000005</v>
      </c>
      <c r="G159" s="67"/>
      <c r="H159" s="67"/>
      <c r="I159" s="4"/>
    </row>
    <row r="160" spans="2:14" ht="28.5" customHeight="1" x14ac:dyDescent="0.25">
      <c r="B160" s="252" t="s">
        <v>137</v>
      </c>
      <c r="C160" s="87" t="s">
        <v>138</v>
      </c>
      <c r="D160" s="230"/>
      <c r="E160" s="68" t="s">
        <v>106</v>
      </c>
      <c r="F160" s="67"/>
      <c r="G160" s="67"/>
      <c r="H160" s="67"/>
      <c r="I160" s="5"/>
    </row>
    <row r="161" spans="2:14" ht="28.5" customHeight="1" x14ac:dyDescent="0.25">
      <c r="B161" s="252"/>
      <c r="C161" s="60" t="s">
        <v>19</v>
      </c>
      <c r="D161" s="230"/>
      <c r="E161" s="54">
        <v>80</v>
      </c>
      <c r="F161" s="55">
        <v>85</v>
      </c>
      <c r="G161" s="55">
        <v>90</v>
      </c>
      <c r="H161" s="55">
        <v>95</v>
      </c>
      <c r="I161" s="5"/>
      <c r="J161" s="133"/>
    </row>
    <row r="162" spans="2:14" ht="30" customHeight="1" x14ac:dyDescent="0.25">
      <c r="B162" s="251" t="s">
        <v>139</v>
      </c>
      <c r="C162" s="87" t="s">
        <v>140</v>
      </c>
      <c r="D162" s="230"/>
      <c r="E162" s="68" t="s">
        <v>106</v>
      </c>
      <c r="F162" s="67"/>
      <c r="G162" s="67"/>
      <c r="H162" s="67"/>
      <c r="I162" s="4"/>
    </row>
    <row r="163" spans="2:14" ht="30" customHeight="1" x14ac:dyDescent="0.25">
      <c r="B163" s="252"/>
      <c r="C163" s="60" t="s">
        <v>19</v>
      </c>
      <c r="D163" s="230"/>
      <c r="E163" s="54"/>
      <c r="F163" s="43">
        <v>182.6</v>
      </c>
      <c r="G163" s="43">
        <v>190</v>
      </c>
      <c r="H163" s="43">
        <v>195</v>
      </c>
      <c r="I163" s="4"/>
    </row>
    <row r="164" spans="2:14" ht="16.5" customHeight="1" x14ac:dyDescent="0.25">
      <c r="B164" s="276"/>
      <c r="C164" s="88" t="s">
        <v>21</v>
      </c>
      <c r="D164" s="231"/>
      <c r="E164" s="54">
        <v>174.8</v>
      </c>
      <c r="F164" s="43"/>
      <c r="G164" s="43"/>
      <c r="H164" s="43"/>
      <c r="I164" s="5"/>
    </row>
    <row r="165" spans="2:14" ht="30.75" customHeight="1" x14ac:dyDescent="0.25">
      <c r="B165" s="114" t="s">
        <v>141</v>
      </c>
      <c r="C165" s="87" t="s">
        <v>142</v>
      </c>
      <c r="D165" s="232" t="s">
        <v>48</v>
      </c>
      <c r="E165" s="53" t="s">
        <v>106</v>
      </c>
      <c r="F165" s="177"/>
      <c r="G165" s="43" t="s">
        <v>106</v>
      </c>
      <c r="H165" s="43" t="s">
        <v>106</v>
      </c>
      <c r="I165" s="18"/>
    </row>
    <row r="166" spans="2:14" ht="57.6" customHeight="1" x14ac:dyDescent="0.25">
      <c r="B166" s="115"/>
      <c r="C166" s="60" t="s">
        <v>19</v>
      </c>
      <c r="D166" s="234"/>
      <c r="E166" s="53">
        <v>45</v>
      </c>
      <c r="F166" s="43">
        <v>20</v>
      </c>
      <c r="G166" s="41" t="s">
        <v>106</v>
      </c>
      <c r="H166" s="41" t="s">
        <v>106</v>
      </c>
      <c r="I166" s="4"/>
    </row>
    <row r="167" spans="2:14" ht="30" customHeight="1" x14ac:dyDescent="0.25">
      <c r="B167" s="251" t="s">
        <v>143</v>
      </c>
      <c r="C167" s="87" t="s">
        <v>144</v>
      </c>
      <c r="D167" s="232" t="s">
        <v>33</v>
      </c>
      <c r="E167" s="39" t="s">
        <v>106</v>
      </c>
      <c r="F167" s="40"/>
      <c r="G167" s="40" t="s">
        <v>106</v>
      </c>
      <c r="H167" s="40" t="s">
        <v>106</v>
      </c>
      <c r="I167" s="4" t="s">
        <v>145</v>
      </c>
    </row>
    <row r="168" spans="2:14" ht="29.25" customHeight="1" x14ac:dyDescent="0.25">
      <c r="B168" s="276"/>
      <c r="C168" s="140" t="s">
        <v>19</v>
      </c>
      <c r="D168" s="235"/>
      <c r="E168" s="141">
        <f>280-28.3</f>
        <v>251.7</v>
      </c>
      <c r="F168" s="217"/>
      <c r="G168" s="217">
        <v>161.9</v>
      </c>
      <c r="H168" s="142" t="s">
        <v>106</v>
      </c>
      <c r="I168" s="143"/>
    </row>
    <row r="169" spans="2:14" ht="44.4" customHeight="1" x14ac:dyDescent="0.25">
      <c r="B169" s="280"/>
      <c r="C169" s="147" t="s">
        <v>146</v>
      </c>
      <c r="D169" s="239" t="s">
        <v>147</v>
      </c>
      <c r="E169" s="148"/>
      <c r="F169" s="149"/>
      <c r="G169" s="144"/>
      <c r="H169" s="144"/>
      <c r="I169" s="4" t="s">
        <v>145</v>
      </c>
      <c r="J169" s="70"/>
    </row>
    <row r="170" spans="2:14" ht="28.5" customHeight="1" x14ac:dyDescent="0.25">
      <c r="B170" s="255"/>
      <c r="C170" s="140" t="s">
        <v>19</v>
      </c>
      <c r="D170" s="236"/>
      <c r="E170" s="150">
        <v>603.4</v>
      </c>
      <c r="F170" s="152"/>
      <c r="G170" s="145"/>
      <c r="H170" s="145"/>
      <c r="I170" s="4"/>
    </row>
    <row r="171" spans="2:14" ht="18" customHeight="1" x14ac:dyDescent="0.25">
      <c r="B171" s="281"/>
      <c r="C171" s="88" t="s">
        <v>21</v>
      </c>
      <c r="D171" s="164"/>
      <c r="E171" s="153">
        <v>1081.4000000000001</v>
      </c>
      <c r="F171" s="152"/>
      <c r="G171" s="145"/>
      <c r="H171" s="145"/>
      <c r="I171" s="17"/>
    </row>
    <row r="172" spans="2:14" ht="17.25" customHeight="1" x14ac:dyDescent="0.25">
      <c r="B172" s="19"/>
      <c r="C172" s="98" t="s">
        <v>111</v>
      </c>
      <c r="D172" s="165"/>
      <c r="E172" s="32">
        <f>+E174+E175</f>
        <v>15279.699999999997</v>
      </c>
      <c r="F172" s="32">
        <f t="shared" ref="F172:H172" si="3">+F174+F175</f>
        <v>12851.800000000001</v>
      </c>
      <c r="G172" s="32">
        <f t="shared" si="3"/>
        <v>13961.9</v>
      </c>
      <c r="H172" s="32">
        <f t="shared" si="3"/>
        <v>14120</v>
      </c>
      <c r="I172" s="20"/>
      <c r="K172" s="139"/>
      <c r="L172" s="139"/>
      <c r="M172" s="139"/>
      <c r="N172" s="139"/>
    </row>
    <row r="173" spans="2:14" ht="17.25" customHeight="1" x14ac:dyDescent="0.25">
      <c r="B173" s="277"/>
      <c r="C173" s="104" t="s">
        <v>112</v>
      </c>
      <c r="D173" s="104"/>
      <c r="E173" s="27"/>
      <c r="F173" s="27"/>
      <c r="G173" s="27"/>
      <c r="H173" s="27"/>
      <c r="I173" s="16"/>
    </row>
    <row r="174" spans="2:14" ht="27.75" customHeight="1" x14ac:dyDescent="0.25">
      <c r="B174" s="278"/>
      <c r="C174" s="91" t="s">
        <v>113</v>
      </c>
      <c r="D174" s="166"/>
      <c r="E174" s="33">
        <f>SUMIF($C149:$C171,$C150,E149:E171)</f>
        <v>3530.8999999999996</v>
      </c>
      <c r="F174" s="123">
        <f>SUMIF($C149:$C171,$C150,F149:F171)</f>
        <v>12851.800000000001</v>
      </c>
      <c r="G174" s="123">
        <f t="shared" ref="G174:H174" si="4">SUMIF($C149:$C171,$C150,G149:G171)</f>
        <v>1061.5</v>
      </c>
      <c r="H174" s="123">
        <f t="shared" si="4"/>
        <v>8686.1</v>
      </c>
      <c r="I174" s="21"/>
    </row>
    <row r="175" spans="2:14" ht="16.5" customHeight="1" x14ac:dyDescent="0.25">
      <c r="B175" s="279"/>
      <c r="C175" s="91" t="s">
        <v>116</v>
      </c>
      <c r="D175" s="166"/>
      <c r="E175" s="33">
        <f>SUMIF($C149:$C171,$C151,E149:E171)</f>
        <v>11748.799999999997</v>
      </c>
      <c r="F175" s="33">
        <f t="shared" ref="F175:H175" si="5">SUMIF($C149:$C171,$C151,F149:F171)</f>
        <v>0</v>
      </c>
      <c r="G175" s="33">
        <f t="shared" si="5"/>
        <v>12900.4</v>
      </c>
      <c r="H175" s="33">
        <f t="shared" si="5"/>
        <v>5433.9</v>
      </c>
      <c r="I175" s="21"/>
    </row>
    <row r="176" spans="2:14" ht="30.75" customHeight="1" x14ac:dyDescent="0.25">
      <c r="B176" s="12" t="s">
        <v>148</v>
      </c>
      <c r="C176" s="105" t="s">
        <v>149</v>
      </c>
      <c r="D176" s="105"/>
      <c r="E176" s="34"/>
      <c r="F176" s="34"/>
      <c r="G176" s="34"/>
      <c r="H176" s="34"/>
      <c r="I176" s="13"/>
    </row>
    <row r="177" spans="2:14" ht="30" customHeight="1" x14ac:dyDescent="0.25">
      <c r="B177" s="14" t="s">
        <v>150</v>
      </c>
      <c r="C177" s="86" t="s">
        <v>151</v>
      </c>
      <c r="D177" s="86"/>
      <c r="E177" s="31"/>
      <c r="F177" s="31"/>
      <c r="G177" s="31"/>
      <c r="H177" s="31"/>
      <c r="I177" s="15"/>
    </row>
    <row r="178" spans="2:14" ht="29.25" customHeight="1" x14ac:dyDescent="0.25">
      <c r="B178" s="246" t="s">
        <v>152</v>
      </c>
      <c r="C178" s="134" t="s">
        <v>153</v>
      </c>
      <c r="D178" s="240" t="s">
        <v>131</v>
      </c>
      <c r="E178" s="25"/>
      <c r="F178" s="25"/>
      <c r="G178" s="25"/>
      <c r="H178" s="25"/>
      <c r="I178" s="18" t="s">
        <v>154</v>
      </c>
    </row>
    <row r="179" spans="2:14" ht="29.25" customHeight="1" x14ac:dyDescent="0.25">
      <c r="B179" s="247"/>
      <c r="C179" s="60" t="s">
        <v>19</v>
      </c>
      <c r="D179" s="241"/>
      <c r="E179" s="56">
        <f>1167.3-98.1-100</f>
        <v>969.2</v>
      </c>
      <c r="F179" s="154">
        <f>1589.9-201.2</f>
        <v>1388.7</v>
      </c>
      <c r="G179" s="57">
        <f>1702-50</f>
        <v>1652</v>
      </c>
      <c r="H179" s="57">
        <f>1751.3-100</f>
        <v>1651.3</v>
      </c>
      <c r="I179" s="18"/>
      <c r="J179" s="187"/>
      <c r="K179" s="187"/>
      <c r="L179" s="187"/>
      <c r="M179" s="187"/>
      <c r="N179" s="187"/>
    </row>
    <row r="180" spans="2:14" ht="19.2" customHeight="1" x14ac:dyDescent="0.25">
      <c r="B180" s="247"/>
      <c r="C180" s="135" t="s">
        <v>21</v>
      </c>
      <c r="D180" s="242"/>
      <c r="E180" s="53">
        <f>121.2+98.1</f>
        <v>219.3</v>
      </c>
      <c r="F180" s="43"/>
      <c r="G180" s="43"/>
      <c r="H180" s="43"/>
      <c r="I180" s="6"/>
      <c r="K180" s="187"/>
    </row>
    <row r="181" spans="2:14" ht="29.25" customHeight="1" x14ac:dyDescent="0.25">
      <c r="B181" s="246" t="s">
        <v>155</v>
      </c>
      <c r="C181" s="106" t="s">
        <v>156</v>
      </c>
      <c r="D181" s="232" t="s">
        <v>48</v>
      </c>
      <c r="E181" s="42" t="s">
        <v>106</v>
      </c>
      <c r="F181" s="43"/>
      <c r="G181" s="43"/>
      <c r="H181" s="43"/>
      <c r="I181" s="4" t="s">
        <v>157</v>
      </c>
      <c r="K181" s="187"/>
      <c r="L181" s="187"/>
    </row>
    <row r="182" spans="2:14" ht="32.25" customHeight="1" x14ac:dyDescent="0.25">
      <c r="B182" s="253"/>
      <c r="C182" s="88" t="s">
        <v>19</v>
      </c>
      <c r="D182" s="234"/>
      <c r="E182" s="53"/>
      <c r="F182" s="43">
        <v>75.900000000000006</v>
      </c>
      <c r="G182" s="43">
        <v>70</v>
      </c>
      <c r="H182" s="43">
        <v>80</v>
      </c>
      <c r="I182" s="7"/>
    </row>
    <row r="183" spans="2:14" ht="28.5" customHeight="1" x14ac:dyDescent="0.25">
      <c r="B183" s="246" t="s">
        <v>158</v>
      </c>
      <c r="C183" s="106" t="s">
        <v>159</v>
      </c>
      <c r="D183" s="232" t="s">
        <v>131</v>
      </c>
      <c r="E183" s="53" t="s">
        <v>106</v>
      </c>
      <c r="F183" s="43"/>
      <c r="G183" s="43"/>
      <c r="H183" s="43"/>
      <c r="I183" s="4" t="s">
        <v>160</v>
      </c>
    </row>
    <row r="184" spans="2:14" ht="28.5" customHeight="1" x14ac:dyDescent="0.25">
      <c r="B184" s="247"/>
      <c r="C184" s="88" t="s">
        <v>19</v>
      </c>
      <c r="D184" s="234"/>
      <c r="E184" s="53">
        <f>1016.2</f>
        <v>1016.2</v>
      </c>
      <c r="F184" s="43">
        <v>1057</v>
      </c>
      <c r="G184" s="43">
        <v>1078.2</v>
      </c>
      <c r="H184" s="43">
        <v>1083.4000000000001</v>
      </c>
      <c r="I184" s="4"/>
    </row>
    <row r="185" spans="2:14" ht="29.25" customHeight="1" x14ac:dyDescent="0.25">
      <c r="B185" s="246" t="s">
        <v>161</v>
      </c>
      <c r="C185" s="106" t="s">
        <v>162</v>
      </c>
      <c r="D185" s="243" t="s">
        <v>163</v>
      </c>
      <c r="E185" s="42" t="s">
        <v>106</v>
      </c>
      <c r="F185" s="41"/>
      <c r="G185" s="41"/>
      <c r="H185" s="41"/>
      <c r="I185" s="4" t="s">
        <v>164</v>
      </c>
    </row>
    <row r="186" spans="2:14" ht="27.75" customHeight="1" x14ac:dyDescent="0.25">
      <c r="B186" s="253"/>
      <c r="C186" s="88" t="s">
        <v>19</v>
      </c>
      <c r="D186" s="244"/>
      <c r="E186" s="53">
        <f>242.8-27</f>
        <v>215.8</v>
      </c>
      <c r="F186" s="43">
        <v>246.9</v>
      </c>
      <c r="G186" s="43">
        <v>260.60000000000002</v>
      </c>
      <c r="H186" s="43">
        <v>281.5</v>
      </c>
      <c r="I186" s="7"/>
    </row>
    <row r="187" spans="2:14" ht="30" customHeight="1" x14ac:dyDescent="0.25">
      <c r="B187" s="284" t="s">
        <v>165</v>
      </c>
      <c r="C187" s="87" t="s">
        <v>166</v>
      </c>
      <c r="D187" s="232" t="s">
        <v>131</v>
      </c>
      <c r="E187" s="6"/>
      <c r="F187" s="6"/>
      <c r="G187" s="6"/>
      <c r="H187" s="6"/>
      <c r="I187" s="4"/>
    </row>
    <row r="188" spans="2:14" ht="27.75" customHeight="1" x14ac:dyDescent="0.25">
      <c r="B188" s="285"/>
      <c r="C188" s="88" t="s">
        <v>19</v>
      </c>
      <c r="D188" s="233"/>
      <c r="E188" s="56">
        <f>323.7-242</f>
        <v>81.699999999999989</v>
      </c>
      <c r="F188" s="57">
        <f>244.6-10</f>
        <v>234.6</v>
      </c>
      <c r="G188" s="57">
        <v>186.4</v>
      </c>
      <c r="H188" s="57">
        <v>108.1</v>
      </c>
      <c r="I188" s="7"/>
    </row>
    <row r="189" spans="2:14" ht="18.75" customHeight="1" x14ac:dyDescent="0.25">
      <c r="B189" s="257" t="s">
        <v>167</v>
      </c>
      <c r="C189" s="87" t="s">
        <v>168</v>
      </c>
      <c r="D189" s="233"/>
      <c r="E189" s="56"/>
      <c r="F189" s="57"/>
      <c r="G189" s="57"/>
      <c r="H189" s="57"/>
      <c r="I189" s="72"/>
    </row>
    <row r="190" spans="2:14" ht="27.75" customHeight="1" x14ac:dyDescent="0.25">
      <c r="B190" s="259"/>
      <c r="C190" s="60" t="s">
        <v>19</v>
      </c>
      <c r="D190" s="234"/>
      <c r="E190" s="77"/>
      <c r="F190" s="78">
        <f>217-100</f>
        <v>117</v>
      </c>
      <c r="G190" s="78"/>
      <c r="H190" s="78"/>
      <c r="I190" s="7"/>
      <c r="J190" s="133"/>
    </row>
    <row r="191" spans="2:14" ht="17.25" customHeight="1" x14ac:dyDescent="0.25">
      <c r="B191" s="19"/>
      <c r="C191" s="98" t="s">
        <v>111</v>
      </c>
      <c r="D191" s="98"/>
      <c r="E191" s="29">
        <f>+E193+E194</f>
        <v>2502.2000000000003</v>
      </c>
      <c r="F191" s="29">
        <f t="shared" ref="F191:H191" si="6">+F193+F194</f>
        <v>3120.1000000000004</v>
      </c>
      <c r="G191" s="29">
        <f t="shared" si="6"/>
        <v>3247.2</v>
      </c>
      <c r="H191" s="29">
        <f t="shared" si="6"/>
        <v>3204.2999999999997</v>
      </c>
      <c r="I191" s="9"/>
    </row>
    <row r="192" spans="2:14" ht="17.25" customHeight="1" x14ac:dyDescent="0.25">
      <c r="B192" s="277"/>
      <c r="C192" s="87" t="s">
        <v>112</v>
      </c>
      <c r="D192" s="87"/>
      <c r="E192" s="27"/>
      <c r="F192" s="27"/>
      <c r="G192" s="27"/>
      <c r="H192" s="27"/>
      <c r="I192" s="8"/>
    </row>
    <row r="193" spans="2:14" ht="27" customHeight="1" x14ac:dyDescent="0.25">
      <c r="B193" s="278"/>
      <c r="C193" s="91" t="s">
        <v>113</v>
      </c>
      <c r="D193" s="91"/>
      <c r="E193" s="30">
        <f>SUMIF($C178:$C190,$C179,E178:E190)</f>
        <v>2282.9</v>
      </c>
      <c r="F193" s="30">
        <f>SUMIF($C178:$C190,$C179,F178:F190)</f>
        <v>3120.1000000000004</v>
      </c>
      <c r="G193" s="30">
        <f>SUMIF($C178:$C190,$C179,G178:G190)</f>
        <v>3247.2</v>
      </c>
      <c r="H193" s="30">
        <f>SUMIF($C178:$C190,$C179,H178:H190)</f>
        <v>3204.2999999999997</v>
      </c>
      <c r="I193" s="8"/>
    </row>
    <row r="194" spans="2:14" ht="16.5" customHeight="1" x14ac:dyDescent="0.25">
      <c r="B194" s="278"/>
      <c r="C194" s="91" t="s">
        <v>116</v>
      </c>
      <c r="D194" s="91"/>
      <c r="E194" s="30">
        <f t="shared" ref="E194:H194" si="7">SUMIF($C178:$C188,$C180,E178:E188)</f>
        <v>219.3</v>
      </c>
      <c r="F194" s="30">
        <f t="shared" si="7"/>
        <v>0</v>
      </c>
      <c r="G194" s="30">
        <f t="shared" si="7"/>
        <v>0</v>
      </c>
      <c r="H194" s="30">
        <f t="shared" si="7"/>
        <v>0</v>
      </c>
      <c r="I194" s="22"/>
      <c r="K194" s="187"/>
      <c r="L194" s="187"/>
      <c r="M194" s="187"/>
      <c r="N194" s="187"/>
    </row>
    <row r="195" spans="2:14" ht="18.75" customHeight="1" x14ac:dyDescent="0.25">
      <c r="B195" s="14" t="s">
        <v>169</v>
      </c>
      <c r="C195" s="86" t="s">
        <v>170</v>
      </c>
      <c r="D195" s="86"/>
      <c r="E195" s="31"/>
      <c r="F195" s="31"/>
      <c r="G195" s="31"/>
      <c r="H195" s="31"/>
      <c r="I195" s="15"/>
    </row>
    <row r="196" spans="2:14" ht="45" customHeight="1" x14ac:dyDescent="0.25">
      <c r="B196" s="246" t="s">
        <v>171</v>
      </c>
      <c r="C196" s="107" t="s">
        <v>172</v>
      </c>
      <c r="D196" s="232" t="s">
        <v>131</v>
      </c>
      <c r="E196" s="25"/>
      <c r="F196" s="25"/>
      <c r="G196" s="25"/>
      <c r="H196" s="25"/>
      <c r="I196" s="4" t="s">
        <v>173</v>
      </c>
    </row>
    <row r="197" spans="2:14" ht="27.75" customHeight="1" x14ac:dyDescent="0.25">
      <c r="B197" s="247"/>
      <c r="C197" s="88" t="s">
        <v>19</v>
      </c>
      <c r="D197" s="233"/>
      <c r="E197" s="56">
        <f>122.1+11</f>
        <v>133.1</v>
      </c>
      <c r="F197" s="57">
        <v>144.19999999999999</v>
      </c>
      <c r="G197" s="57"/>
      <c r="H197" s="57"/>
      <c r="I197" s="4"/>
    </row>
    <row r="198" spans="2:14" ht="30" customHeight="1" x14ac:dyDescent="0.25">
      <c r="B198" s="246"/>
      <c r="C198" s="108" t="s">
        <v>174</v>
      </c>
      <c r="D198" s="233"/>
      <c r="E198" s="42" t="s">
        <v>106</v>
      </c>
      <c r="F198" s="41"/>
      <c r="G198" s="41"/>
      <c r="H198" s="41"/>
      <c r="I198" s="4" t="s">
        <v>175</v>
      </c>
    </row>
    <row r="199" spans="2:14" ht="27.75" customHeight="1" x14ac:dyDescent="0.25">
      <c r="B199" s="247"/>
      <c r="C199" s="88" t="s">
        <v>19</v>
      </c>
      <c r="D199" s="234"/>
      <c r="E199" s="53">
        <v>114.9</v>
      </c>
      <c r="F199" s="43"/>
      <c r="G199" s="43"/>
      <c r="H199" s="43"/>
      <c r="I199" s="4"/>
    </row>
    <row r="200" spans="2:14" ht="21.6" customHeight="1" x14ac:dyDescent="0.25">
      <c r="B200" s="257" t="s">
        <v>176</v>
      </c>
      <c r="C200" s="108" t="s">
        <v>177</v>
      </c>
      <c r="E200" s="42" t="s">
        <v>106</v>
      </c>
      <c r="F200" s="41"/>
      <c r="G200" s="41"/>
      <c r="H200" s="41"/>
      <c r="I200" s="4" t="s">
        <v>178</v>
      </c>
    </row>
    <row r="201" spans="2:14" ht="29.25" customHeight="1" x14ac:dyDescent="0.25">
      <c r="B201" s="258"/>
      <c r="C201" s="88" t="s">
        <v>19</v>
      </c>
      <c r="D201" s="282" t="s">
        <v>179</v>
      </c>
      <c r="E201" s="53">
        <v>157.30000000000001</v>
      </c>
      <c r="F201" s="186">
        <v>6.8</v>
      </c>
      <c r="G201" s="79"/>
      <c r="H201" s="79"/>
      <c r="I201" s="4"/>
    </row>
    <row r="202" spans="2:14" ht="16.8" customHeight="1" x14ac:dyDescent="0.25">
      <c r="B202" s="258"/>
      <c r="C202" s="135" t="s">
        <v>21</v>
      </c>
      <c r="D202" s="283"/>
      <c r="E202" s="53"/>
      <c r="F202" s="220">
        <v>157.30000000000001</v>
      </c>
      <c r="G202" s="219"/>
      <c r="H202" s="219"/>
      <c r="I202" s="4"/>
    </row>
    <row r="203" spans="2:14" ht="32.4" customHeight="1" x14ac:dyDescent="0.25">
      <c r="B203" s="258"/>
      <c r="C203" s="60" t="s">
        <v>19</v>
      </c>
      <c r="D203" s="241" t="s">
        <v>27</v>
      </c>
      <c r="E203" s="53">
        <v>5.7</v>
      </c>
      <c r="F203" s="43">
        <v>263.39999999999998</v>
      </c>
      <c r="G203" s="43"/>
      <c r="H203" s="43">
        <v>2370.8000000000002</v>
      </c>
      <c r="I203" s="4"/>
      <c r="K203" s="187"/>
      <c r="L203" s="187"/>
      <c r="M203" s="187"/>
    </row>
    <row r="204" spans="2:14" ht="18" customHeight="1" x14ac:dyDescent="0.25">
      <c r="B204" s="258"/>
      <c r="C204" s="224" t="s">
        <v>54</v>
      </c>
      <c r="D204" s="241"/>
      <c r="E204" s="53"/>
      <c r="F204" s="43"/>
      <c r="G204" s="43">
        <v>1317.1</v>
      </c>
      <c r="H204" s="43"/>
      <c r="I204" s="4"/>
      <c r="K204" s="187"/>
      <c r="L204" s="187"/>
      <c r="M204" s="187"/>
    </row>
    <row r="205" spans="2:14" ht="25.35" customHeight="1" x14ac:dyDescent="0.25">
      <c r="B205" s="259"/>
      <c r="C205" s="109" t="s">
        <v>180</v>
      </c>
      <c r="D205" s="275"/>
      <c r="E205" s="53"/>
      <c r="F205" s="43">
        <v>762.4</v>
      </c>
      <c r="G205" s="43">
        <v>3811.9</v>
      </c>
      <c r="H205" s="43">
        <v>6861.4</v>
      </c>
      <c r="I205" s="4"/>
      <c r="M205" s="187"/>
    </row>
    <row r="206" spans="2:14" ht="20.85" customHeight="1" x14ac:dyDescent="0.25">
      <c r="B206" s="293" t="s">
        <v>181</v>
      </c>
      <c r="C206" s="87" t="s">
        <v>182</v>
      </c>
      <c r="E206" s="25"/>
      <c r="F206" s="25"/>
      <c r="G206" s="25"/>
      <c r="H206" s="25"/>
      <c r="I206" s="4" t="s">
        <v>178</v>
      </c>
      <c r="M206" s="187"/>
    </row>
    <row r="207" spans="2:14" ht="30" customHeight="1" x14ac:dyDescent="0.25">
      <c r="B207" s="294"/>
      <c r="C207" s="111" t="s">
        <v>19</v>
      </c>
      <c r="D207" s="203" t="s">
        <v>179</v>
      </c>
      <c r="E207" s="25"/>
      <c r="F207" s="58">
        <v>90.8</v>
      </c>
      <c r="G207" s="36">
        <f>383.6-245</f>
        <v>138.60000000000002</v>
      </c>
      <c r="H207" s="25">
        <v>383.6</v>
      </c>
      <c r="I207" s="4"/>
    </row>
    <row r="208" spans="2:14" ht="20.399999999999999" customHeight="1" x14ac:dyDescent="0.25">
      <c r="B208" s="294"/>
      <c r="C208" s="224" t="s">
        <v>54</v>
      </c>
      <c r="D208" s="223"/>
      <c r="E208" s="25"/>
      <c r="F208" s="58"/>
      <c r="G208" s="36">
        <v>245</v>
      </c>
      <c r="H208" s="25"/>
      <c r="I208" s="4"/>
    </row>
    <row r="209" spans="2:14" ht="28.5" customHeight="1" x14ac:dyDescent="0.25">
      <c r="B209" s="294"/>
      <c r="C209" s="112" t="s">
        <v>19</v>
      </c>
      <c r="D209" s="273" t="s">
        <v>183</v>
      </c>
      <c r="E209" s="25"/>
      <c r="F209" s="25"/>
      <c r="G209" s="58">
        <v>163.80000000000001</v>
      </c>
      <c r="H209" s="194">
        <v>1637.3</v>
      </c>
      <c r="I209" s="4"/>
    </row>
    <row r="210" spans="2:14" ht="18" customHeight="1" x14ac:dyDescent="0.25">
      <c r="B210" s="295"/>
      <c r="C210" s="89" t="s">
        <v>180</v>
      </c>
      <c r="D210" s="274"/>
      <c r="E210" s="25"/>
      <c r="F210" s="25"/>
      <c r="G210" s="58">
        <v>95.3</v>
      </c>
      <c r="H210" s="194">
        <v>952.3</v>
      </c>
      <c r="I210" s="4"/>
    </row>
    <row r="211" spans="2:14" ht="17.25" customHeight="1" x14ac:dyDescent="0.25">
      <c r="B211" s="19"/>
      <c r="C211" s="98" t="s">
        <v>111</v>
      </c>
      <c r="D211" s="98"/>
      <c r="E211" s="29">
        <f>+E213+E214+E215</f>
        <v>411</v>
      </c>
      <c r="F211" s="29">
        <f t="shared" ref="F211:H211" si="8">+F213+F214+F215</f>
        <v>662.5</v>
      </c>
      <c r="G211" s="29">
        <f t="shared" si="8"/>
        <v>1864.5</v>
      </c>
      <c r="H211" s="29">
        <f t="shared" si="8"/>
        <v>4391.7</v>
      </c>
      <c r="I211" s="20"/>
    </row>
    <row r="212" spans="2:14" ht="17.25" customHeight="1" x14ac:dyDescent="0.25">
      <c r="B212" s="299"/>
      <c r="C212" s="87" t="s">
        <v>112</v>
      </c>
      <c r="D212" s="87"/>
      <c r="E212" s="28"/>
      <c r="F212" s="28"/>
      <c r="G212" s="28"/>
      <c r="H212" s="28"/>
      <c r="I212" s="17"/>
    </row>
    <row r="213" spans="2:14" ht="27.75" customHeight="1" x14ac:dyDescent="0.25">
      <c r="B213" s="300"/>
      <c r="C213" s="91" t="s">
        <v>113</v>
      </c>
      <c r="D213" s="91"/>
      <c r="E213" s="30">
        <f>SUMIF($C196:$C210,$C197,E196:E210)</f>
        <v>411</v>
      </c>
      <c r="F213" s="30">
        <f>SUMIF($C196:$C210,$C197,F196:F210)</f>
        <v>505.2</v>
      </c>
      <c r="G213" s="30">
        <f>SUMIF($C196:$C210,$C197,G196:G210)</f>
        <v>302.40000000000003</v>
      </c>
      <c r="H213" s="30">
        <f>SUMIF($C196:$C210,$C197,H196:H210)</f>
        <v>4391.7</v>
      </c>
      <c r="I213" s="5"/>
    </row>
    <row r="214" spans="2:14" ht="19.8" customHeight="1" x14ac:dyDescent="0.25">
      <c r="B214" s="300"/>
      <c r="C214" s="225" t="s">
        <v>117</v>
      </c>
      <c r="D214" s="91"/>
      <c r="E214" s="30">
        <f>SUMIF($C197:$C211,$C208,E197:E211)</f>
        <v>0</v>
      </c>
      <c r="F214" s="30">
        <f t="shared" ref="F214:H214" si="9">SUMIF($C197:$C211,$C208,F197:F211)</f>
        <v>0</v>
      </c>
      <c r="G214" s="27">
        <f t="shared" si="9"/>
        <v>1562.1</v>
      </c>
      <c r="H214" s="30">
        <f t="shared" si="9"/>
        <v>0</v>
      </c>
      <c r="I214" s="5"/>
    </row>
    <row r="215" spans="2:14" ht="15" customHeight="1" x14ac:dyDescent="0.25">
      <c r="B215" s="301"/>
      <c r="C215" s="91" t="s">
        <v>116</v>
      </c>
      <c r="D215" s="91"/>
      <c r="E215" s="30">
        <f>SUMIF($C196:$C210,#REF!,E196:E210)</f>
        <v>0</v>
      </c>
      <c r="F215" s="30">
        <f>SUMIF($C196:$C210,+C202,F196:F210)</f>
        <v>157.30000000000001</v>
      </c>
      <c r="G215" s="30">
        <f>SUMIF(C196:C210,#REF!,G196:G210)</f>
        <v>0</v>
      </c>
      <c r="H215" s="30">
        <f>SUMIF(E196:E210,#REF!,H196:H210)</f>
        <v>0</v>
      </c>
      <c r="I215" s="5"/>
    </row>
    <row r="216" spans="2:14" ht="15" customHeight="1" x14ac:dyDescent="0.25">
      <c r="B216" s="19"/>
      <c r="C216" s="169" t="s">
        <v>118</v>
      </c>
      <c r="D216" s="99"/>
      <c r="E216" s="29">
        <f>+E218</f>
        <v>0</v>
      </c>
      <c r="F216" s="29">
        <f t="shared" ref="F216:G216" si="10">+F218</f>
        <v>762.4</v>
      </c>
      <c r="G216" s="29">
        <f t="shared" si="10"/>
        <v>3907.2000000000003</v>
      </c>
      <c r="H216" s="29">
        <f t="shared" ref="H216" si="11">+H218</f>
        <v>7813.7</v>
      </c>
      <c r="I216" s="20"/>
    </row>
    <row r="217" spans="2:14" ht="15" customHeight="1" x14ac:dyDescent="0.25">
      <c r="B217" s="299"/>
      <c r="C217" s="87" t="s">
        <v>119</v>
      </c>
      <c r="D217" s="87"/>
      <c r="E217" s="27"/>
      <c r="F217" s="27"/>
      <c r="G217" s="27"/>
      <c r="H217" s="27"/>
      <c r="I217" s="17"/>
    </row>
    <row r="218" spans="2:14" ht="18" customHeight="1" x14ac:dyDescent="0.25">
      <c r="B218" s="301"/>
      <c r="C218" s="87" t="s">
        <v>123</v>
      </c>
      <c r="D218" s="87"/>
      <c r="E218" s="27">
        <f t="shared" ref="E218:H218" si="12">SUMIF($C196:$C210,$C210,E196:E210)</f>
        <v>0</v>
      </c>
      <c r="F218" s="27">
        <f t="shared" si="12"/>
        <v>762.4</v>
      </c>
      <c r="G218" s="27">
        <f t="shared" si="12"/>
        <v>3907.2000000000003</v>
      </c>
      <c r="H218" s="27">
        <f t="shared" si="12"/>
        <v>7813.7</v>
      </c>
      <c r="I218" s="17"/>
      <c r="K218" s="187"/>
      <c r="L218" s="187"/>
      <c r="M218" s="187"/>
      <c r="N218" s="187"/>
    </row>
    <row r="219" spans="2:14" ht="26.25" customHeight="1" x14ac:dyDescent="0.25">
      <c r="B219" s="24"/>
      <c r="C219" s="98" t="s">
        <v>184</v>
      </c>
      <c r="D219" s="98"/>
      <c r="E219" s="35">
        <f>+E133+E140+E172+E191+E211+E216</f>
        <v>32810.800000000003</v>
      </c>
      <c r="F219" s="35">
        <f>+F133+F140+F172+F191+F211+F216</f>
        <v>34387.4</v>
      </c>
      <c r="G219" s="35">
        <f>+G133+G140+G172+G191+G211+G216</f>
        <v>44179.199999999997</v>
      </c>
      <c r="H219" s="35">
        <f>+H133+H140+H172+H191+H211+H216</f>
        <v>42299.999999999993</v>
      </c>
      <c r="I219" s="20"/>
      <c r="J219" s="139"/>
      <c r="K219" s="139"/>
      <c r="L219" s="139"/>
      <c r="M219" s="139"/>
      <c r="N219" s="139"/>
    </row>
    <row r="220" spans="2:14" ht="24" customHeight="1" x14ac:dyDescent="0.25">
      <c r="B220" s="2"/>
      <c r="C220" s="91" t="s">
        <v>185</v>
      </c>
      <c r="D220" s="91"/>
      <c r="E220" s="28">
        <f>+E201+E203+E205+E207+E209+E210</f>
        <v>163</v>
      </c>
      <c r="F220" s="28">
        <f>+F201+F203+F205+F207+F209+F210</f>
        <v>1123.3999999999999</v>
      </c>
      <c r="G220" s="28">
        <f>+G201+G203+G205+G207+G209+G210</f>
        <v>4209.6000000000004</v>
      </c>
      <c r="H220" s="28">
        <f>+H201+H203+H205+H207+H209+H210</f>
        <v>12205.4</v>
      </c>
      <c r="I220" s="5"/>
    </row>
    <row r="221" spans="2:14" ht="46.2" customHeight="1" x14ac:dyDescent="0.25">
      <c r="B221" s="2"/>
      <c r="C221" s="91" t="s">
        <v>186</v>
      </c>
      <c r="D221" s="91"/>
      <c r="E221" s="28"/>
      <c r="F221" s="26">
        <f>+F219-E219</f>
        <v>1576.5999999999985</v>
      </c>
      <c r="G221" s="26">
        <f t="shared" ref="G221:H221" si="13">+G219-F219</f>
        <v>9791.7999999999956</v>
      </c>
      <c r="H221" s="26">
        <f t="shared" si="13"/>
        <v>-1879.2000000000044</v>
      </c>
      <c r="I221" s="5"/>
    </row>
    <row r="222" spans="2:14" ht="15" customHeight="1" x14ac:dyDescent="0.25">
      <c r="C222" s="113"/>
      <c r="F222" s="80"/>
      <c r="G222" s="80"/>
      <c r="H222" s="80"/>
    </row>
    <row r="223" spans="2:14" ht="15" customHeight="1" x14ac:dyDescent="0.25">
      <c r="B223" s="292" t="s">
        <v>187</v>
      </c>
      <c r="C223" s="292"/>
      <c r="D223" s="292"/>
      <c r="E223" s="292"/>
      <c r="F223" s="292"/>
      <c r="G223" s="292"/>
      <c r="H223" s="292"/>
      <c r="I223" s="292"/>
    </row>
    <row r="224" spans="2:14" ht="15" customHeight="1" x14ac:dyDescent="0.25">
      <c r="B224" s="296" t="s">
        <v>188</v>
      </c>
      <c r="C224" s="296"/>
      <c r="D224" s="296"/>
      <c r="E224" s="296"/>
      <c r="F224" s="296"/>
      <c r="G224" s="296"/>
      <c r="H224" s="296"/>
      <c r="I224" s="296"/>
    </row>
    <row r="225" spans="2:9" ht="15" customHeight="1" x14ac:dyDescent="0.25">
      <c r="B225" s="292" t="s">
        <v>189</v>
      </c>
      <c r="C225" s="292"/>
      <c r="D225" s="292"/>
      <c r="E225" s="292"/>
      <c r="F225" s="292"/>
      <c r="G225" s="292"/>
      <c r="H225" s="292"/>
      <c r="I225" s="292"/>
    </row>
    <row r="226" spans="2:9" ht="15" customHeight="1" x14ac:dyDescent="0.25">
      <c r="B226" s="292" t="s">
        <v>190</v>
      </c>
      <c r="C226" s="292"/>
      <c r="D226" s="292"/>
      <c r="E226" s="292"/>
      <c r="F226" s="292"/>
      <c r="G226" s="292"/>
      <c r="H226" s="292"/>
      <c r="I226" s="292"/>
    </row>
    <row r="227" spans="2:9" ht="15" customHeight="1" x14ac:dyDescent="0.25">
      <c r="B227" s="292" t="s">
        <v>191</v>
      </c>
      <c r="C227" s="292"/>
      <c r="D227" s="292"/>
      <c r="E227" s="292"/>
      <c r="F227" s="292"/>
      <c r="G227" s="292"/>
      <c r="H227" s="292"/>
      <c r="I227" s="292"/>
    </row>
    <row r="228" spans="2:9" ht="15" customHeight="1" x14ac:dyDescent="0.25">
      <c r="B228" s="291"/>
      <c r="C228" s="291"/>
      <c r="D228" s="291"/>
      <c r="E228" s="291"/>
      <c r="F228" s="291"/>
      <c r="G228" s="291"/>
      <c r="H228" s="291"/>
      <c r="I228" s="291"/>
    </row>
    <row r="229" spans="2:9" ht="16.95" customHeight="1" x14ac:dyDescent="0.25">
      <c r="B229" s="298" t="s">
        <v>192</v>
      </c>
      <c r="C229" s="298"/>
      <c r="D229" s="298"/>
      <c r="E229" s="298"/>
      <c r="F229" s="298"/>
      <c r="G229" s="298"/>
      <c r="H229" s="298"/>
      <c r="I229" s="298"/>
    </row>
    <row r="230" spans="2:9" x14ac:dyDescent="0.25">
      <c r="B230" s="290" t="s">
        <v>193</v>
      </c>
      <c r="C230" s="290"/>
      <c r="D230" s="290"/>
      <c r="E230" s="290"/>
      <c r="F230" s="290"/>
      <c r="G230" s="290"/>
      <c r="H230" s="290"/>
      <c r="I230" s="290"/>
    </row>
    <row r="231" spans="2:9" x14ac:dyDescent="0.25">
      <c r="B231" s="38"/>
      <c r="E231" s="38"/>
      <c r="F231" s="38"/>
      <c r="G231" s="38"/>
      <c r="H231" s="38"/>
      <c r="I231" s="38"/>
    </row>
    <row r="232" spans="2:9" x14ac:dyDescent="0.25">
      <c r="B232" s="38"/>
      <c r="E232" s="38"/>
      <c r="F232" s="38"/>
      <c r="G232" s="38"/>
      <c r="H232" s="38"/>
      <c r="I232" s="38"/>
    </row>
    <row r="233" spans="2:9" x14ac:dyDescent="0.25">
      <c r="B233" s="38"/>
      <c r="E233" s="38"/>
      <c r="F233" s="38"/>
      <c r="G233" s="38"/>
      <c r="H233" s="38"/>
      <c r="I233" s="38"/>
    </row>
    <row r="234" spans="2:9" x14ac:dyDescent="0.25">
      <c r="B234" s="38"/>
      <c r="E234" s="38"/>
      <c r="F234" s="38"/>
      <c r="G234" s="38"/>
      <c r="H234" s="38"/>
      <c r="I234" s="38"/>
    </row>
    <row r="235" spans="2:9" x14ac:dyDescent="0.25">
      <c r="B235" s="38"/>
      <c r="E235" s="38"/>
      <c r="F235" s="38"/>
      <c r="G235" s="38"/>
      <c r="H235" s="38"/>
      <c r="I235" s="38"/>
    </row>
    <row r="236" spans="2:9" x14ac:dyDescent="0.25">
      <c r="B236" s="38"/>
      <c r="E236" s="38"/>
      <c r="F236" s="38"/>
      <c r="G236" s="38"/>
      <c r="H236" s="38"/>
      <c r="I236" s="38"/>
    </row>
    <row r="237" spans="2:9" x14ac:dyDescent="0.25">
      <c r="B237" s="38"/>
      <c r="E237" s="38"/>
      <c r="F237" s="38"/>
      <c r="G237" s="38"/>
      <c r="H237" s="38"/>
      <c r="I237" s="38"/>
    </row>
    <row r="238" spans="2:9" x14ac:dyDescent="0.25">
      <c r="B238" s="38"/>
      <c r="E238" s="38"/>
      <c r="F238" s="38"/>
      <c r="G238" s="38"/>
      <c r="H238" s="38"/>
      <c r="I238" s="38"/>
    </row>
    <row r="239" spans="2:9" x14ac:dyDescent="0.25">
      <c r="B239" s="38"/>
      <c r="E239" s="38"/>
      <c r="F239" s="38"/>
      <c r="G239" s="38"/>
      <c r="H239" s="38"/>
      <c r="I239" s="38"/>
    </row>
    <row r="240" spans="2:9" x14ac:dyDescent="0.25">
      <c r="B240" s="38"/>
      <c r="E240" s="38"/>
      <c r="F240" s="38"/>
      <c r="G240" s="38"/>
      <c r="H240" s="38"/>
      <c r="I240" s="38"/>
    </row>
    <row r="241" spans="2:9" x14ac:dyDescent="0.25">
      <c r="B241" s="38"/>
      <c r="E241" s="73"/>
      <c r="F241" s="73"/>
      <c r="G241" s="73"/>
      <c r="H241" s="73"/>
      <c r="I241" s="73"/>
    </row>
    <row r="242" spans="2:9" x14ac:dyDescent="0.25">
      <c r="B242" s="38"/>
      <c r="E242" s="73"/>
      <c r="F242" s="73"/>
      <c r="G242" s="73"/>
      <c r="H242" s="73"/>
      <c r="I242" s="73"/>
    </row>
    <row r="243" spans="2:9" x14ac:dyDescent="0.25">
      <c r="B243" s="38"/>
      <c r="E243" s="73"/>
      <c r="F243" s="73"/>
      <c r="G243" s="73"/>
      <c r="H243" s="73"/>
      <c r="I243" s="73"/>
    </row>
    <row r="244" spans="2:9" x14ac:dyDescent="0.25">
      <c r="B244" s="38"/>
      <c r="E244" s="73"/>
      <c r="F244" s="73"/>
      <c r="G244" s="73"/>
      <c r="H244" s="73"/>
      <c r="I244" s="38"/>
    </row>
    <row r="245" spans="2:9" x14ac:dyDescent="0.25">
      <c r="B245" s="38"/>
      <c r="E245" s="38"/>
      <c r="F245" s="38"/>
      <c r="G245" s="38"/>
      <c r="H245" s="38"/>
      <c r="I245" s="38"/>
    </row>
    <row r="246" spans="2:9" x14ac:dyDescent="0.25">
      <c r="B246" s="38"/>
      <c r="E246" s="38"/>
      <c r="F246" s="73"/>
      <c r="G246" s="38"/>
      <c r="H246" s="38"/>
      <c r="I246" s="38"/>
    </row>
    <row r="247" spans="2:9" x14ac:dyDescent="0.25">
      <c r="B247" s="38"/>
      <c r="E247" s="38"/>
      <c r="F247" s="73"/>
      <c r="G247" s="38"/>
      <c r="H247" s="38"/>
      <c r="I247" s="38"/>
    </row>
    <row r="248" spans="2:9" x14ac:dyDescent="0.25">
      <c r="B248" s="38"/>
      <c r="E248" s="38"/>
      <c r="F248" s="38"/>
      <c r="G248" s="38"/>
      <c r="H248" s="38"/>
      <c r="I248" s="38"/>
    </row>
    <row r="249" spans="2:9" x14ac:dyDescent="0.25">
      <c r="B249" s="38"/>
      <c r="E249" s="38"/>
      <c r="F249" s="38"/>
      <c r="G249" s="38"/>
      <c r="H249" s="38"/>
      <c r="I249" s="38"/>
    </row>
    <row r="250" spans="2:9" x14ac:dyDescent="0.25">
      <c r="B250" s="38"/>
      <c r="E250" s="74"/>
      <c r="F250" s="38"/>
      <c r="G250" s="38"/>
      <c r="H250" s="38"/>
      <c r="I250" s="38"/>
    </row>
    <row r="251" spans="2:9" x14ac:dyDescent="0.25">
      <c r="B251" s="38"/>
      <c r="E251" s="74"/>
      <c r="F251" s="38"/>
      <c r="G251" s="38"/>
      <c r="H251" s="38"/>
      <c r="I251" s="38"/>
    </row>
    <row r="252" spans="2:9" x14ac:dyDescent="0.25">
      <c r="B252" s="38"/>
      <c r="E252" s="74"/>
      <c r="F252" s="38"/>
      <c r="G252" s="38"/>
      <c r="H252" s="38"/>
      <c r="I252" s="38"/>
    </row>
    <row r="253" spans="2:9" x14ac:dyDescent="0.25">
      <c r="B253" s="38"/>
      <c r="E253" s="38"/>
      <c r="F253" s="38"/>
      <c r="G253" s="38"/>
      <c r="H253" s="38"/>
      <c r="I253" s="38"/>
    </row>
    <row r="254" spans="2:9" x14ac:dyDescent="0.25">
      <c r="B254" s="38"/>
      <c r="E254" s="38"/>
      <c r="F254" s="38"/>
      <c r="G254" s="38"/>
      <c r="H254" s="38"/>
      <c r="I254" s="38"/>
    </row>
    <row r="255" spans="2:9" x14ac:dyDescent="0.25">
      <c r="B255" s="38"/>
      <c r="E255" s="38"/>
      <c r="F255" s="38"/>
      <c r="G255" s="38"/>
      <c r="H255" s="38"/>
      <c r="I255" s="38"/>
    </row>
    <row r="256" spans="2:9" x14ac:dyDescent="0.25">
      <c r="B256" s="38"/>
      <c r="E256" s="38"/>
      <c r="F256" s="38"/>
      <c r="G256" s="38"/>
      <c r="H256" s="38"/>
      <c r="I256" s="38"/>
    </row>
    <row r="257" spans="2:9" x14ac:dyDescent="0.25">
      <c r="B257" s="38"/>
      <c r="E257" s="38"/>
      <c r="F257" s="38"/>
      <c r="G257" s="38"/>
      <c r="H257" s="38"/>
      <c r="I257" s="38"/>
    </row>
    <row r="258" spans="2:9" x14ac:dyDescent="0.25">
      <c r="B258" s="38"/>
      <c r="E258" s="74"/>
      <c r="F258" s="38"/>
      <c r="G258" s="38"/>
      <c r="H258" s="38"/>
      <c r="I258" s="38"/>
    </row>
    <row r="259" spans="2:9" x14ac:dyDescent="0.25">
      <c r="B259" s="38"/>
      <c r="E259" s="38"/>
      <c r="F259" s="38"/>
      <c r="G259" s="38"/>
      <c r="H259" s="38"/>
      <c r="I259" s="38"/>
    </row>
    <row r="260" spans="2:9" x14ac:dyDescent="0.25">
      <c r="E260" s="71"/>
      <c r="F260" s="70"/>
      <c r="G260" s="70"/>
      <c r="H260" s="70"/>
      <c r="I260" s="70"/>
    </row>
    <row r="261" spans="2:9" x14ac:dyDescent="0.25">
      <c r="E261" s="71"/>
      <c r="F261" s="70"/>
      <c r="G261" s="70"/>
      <c r="H261" s="70"/>
      <c r="I261" s="70"/>
    </row>
    <row r="262" spans="2:9" x14ac:dyDescent="0.25">
      <c r="E262" s="70"/>
      <c r="F262" s="70"/>
      <c r="G262" s="70"/>
      <c r="H262" s="70"/>
      <c r="I262" s="70"/>
    </row>
    <row r="263" spans="2:9" x14ac:dyDescent="0.25">
      <c r="E263" s="71"/>
      <c r="F263" s="70"/>
      <c r="G263" s="70"/>
      <c r="H263" s="70"/>
      <c r="I263" s="70"/>
    </row>
    <row r="264" spans="2:9" x14ac:dyDescent="0.25">
      <c r="E264" s="38"/>
      <c r="F264" s="38"/>
      <c r="G264" s="38"/>
      <c r="H264" s="38"/>
      <c r="I264" s="38"/>
    </row>
    <row r="265" spans="2:9" x14ac:dyDescent="0.25">
      <c r="E265" s="38"/>
      <c r="F265" s="38"/>
      <c r="G265" s="38"/>
      <c r="H265" s="38"/>
      <c r="I265" s="38"/>
    </row>
    <row r="266" spans="2:9" x14ac:dyDescent="0.25">
      <c r="E266" s="38"/>
      <c r="F266" s="38"/>
      <c r="G266" s="38"/>
      <c r="H266" s="38"/>
      <c r="I266" s="38"/>
    </row>
    <row r="267" spans="2:9" x14ac:dyDescent="0.25">
      <c r="E267" s="38"/>
      <c r="F267" s="38"/>
      <c r="G267" s="38"/>
      <c r="H267" s="38"/>
      <c r="I267" s="38"/>
    </row>
    <row r="268" spans="2:9" x14ac:dyDescent="0.25">
      <c r="E268" s="38"/>
      <c r="F268" s="38"/>
      <c r="G268" s="38"/>
      <c r="H268" s="38"/>
      <c r="I268" s="38"/>
    </row>
    <row r="269" spans="2:9" x14ac:dyDescent="0.25">
      <c r="E269" s="38"/>
      <c r="F269" s="38"/>
      <c r="G269" s="38"/>
      <c r="H269" s="38"/>
      <c r="I269" s="38"/>
    </row>
    <row r="270" spans="2:9" x14ac:dyDescent="0.25">
      <c r="E270" s="38"/>
      <c r="F270" s="38"/>
      <c r="G270" s="38"/>
      <c r="H270" s="38"/>
      <c r="I270" s="38"/>
    </row>
    <row r="271" spans="2:9" x14ac:dyDescent="0.25">
      <c r="E271" s="38"/>
      <c r="F271" s="38"/>
      <c r="G271" s="38"/>
      <c r="H271" s="38"/>
      <c r="I271" s="38"/>
    </row>
    <row r="272" spans="2:9" x14ac:dyDescent="0.25">
      <c r="E272" s="38"/>
      <c r="F272" s="38"/>
      <c r="G272" s="38"/>
      <c r="H272" s="38"/>
      <c r="I272" s="38"/>
    </row>
    <row r="273" spans="5:9" x14ac:dyDescent="0.25">
      <c r="E273" s="38"/>
      <c r="F273" s="38"/>
      <c r="G273" s="38"/>
      <c r="H273" s="38"/>
      <c r="I273" s="38"/>
    </row>
    <row r="274" spans="5:9" x14ac:dyDescent="0.25">
      <c r="E274" s="38"/>
      <c r="F274" s="38"/>
      <c r="G274" s="38"/>
      <c r="H274" s="38"/>
      <c r="I274" s="38"/>
    </row>
    <row r="275" spans="5:9" x14ac:dyDescent="0.25">
      <c r="E275" s="38"/>
      <c r="F275" s="38"/>
      <c r="G275" s="38"/>
      <c r="H275" s="38"/>
      <c r="I275" s="38"/>
    </row>
    <row r="276" spans="5:9" x14ac:dyDescent="0.25">
      <c r="E276" s="38"/>
      <c r="F276" s="38"/>
      <c r="G276" s="38"/>
      <c r="H276" s="38"/>
      <c r="I276" s="38"/>
    </row>
  </sheetData>
  <mergeCells count="106">
    <mergeCell ref="B230:I230"/>
    <mergeCell ref="B63:B65"/>
    <mergeCell ref="B228:I228"/>
    <mergeCell ref="B226:I226"/>
    <mergeCell ref="B181:B182"/>
    <mergeCell ref="B198:B199"/>
    <mergeCell ref="B225:I225"/>
    <mergeCell ref="B206:B210"/>
    <mergeCell ref="B223:I223"/>
    <mergeCell ref="B224:I224"/>
    <mergeCell ref="B227:I227"/>
    <mergeCell ref="B192:B194"/>
    <mergeCell ref="B196:B197"/>
    <mergeCell ref="B88:B92"/>
    <mergeCell ref="B83:B84"/>
    <mergeCell ref="B85:B87"/>
    <mergeCell ref="B79:B82"/>
    <mergeCell ref="B73:B78"/>
    <mergeCell ref="B97:B99"/>
    <mergeCell ref="B100:B102"/>
    <mergeCell ref="B229:I229"/>
    <mergeCell ref="D66:D72"/>
    <mergeCell ref="B212:B215"/>
    <mergeCell ref="B217:B218"/>
    <mergeCell ref="B134:B139"/>
    <mergeCell ref="B167:B168"/>
    <mergeCell ref="H1:I1"/>
    <mergeCell ref="H2:I2"/>
    <mergeCell ref="D17:D22"/>
    <mergeCell ref="D37:D38"/>
    <mergeCell ref="B4:I4"/>
    <mergeCell ref="B20:B22"/>
    <mergeCell ref="B9:B14"/>
    <mergeCell ref="B27:B31"/>
    <mergeCell ref="B17:B19"/>
    <mergeCell ref="B37:B38"/>
    <mergeCell ref="B15:B16"/>
    <mergeCell ref="B23:B26"/>
    <mergeCell ref="D9:D16"/>
    <mergeCell ref="D209:D210"/>
    <mergeCell ref="D203:D205"/>
    <mergeCell ref="D119:D130"/>
    <mergeCell ref="B155:B157"/>
    <mergeCell ref="B162:B164"/>
    <mergeCell ref="B173:B175"/>
    <mergeCell ref="B160:B161"/>
    <mergeCell ref="B158:B159"/>
    <mergeCell ref="B169:B171"/>
    <mergeCell ref="B152:B154"/>
    <mergeCell ref="B183:B184"/>
    <mergeCell ref="B127:B128"/>
    <mergeCell ref="D201:D202"/>
    <mergeCell ref="B185:B186"/>
    <mergeCell ref="B187:B188"/>
    <mergeCell ref="B149:B151"/>
    <mergeCell ref="B189:B190"/>
    <mergeCell ref="B178:B180"/>
    <mergeCell ref="D187:D190"/>
    <mergeCell ref="D131:D132"/>
    <mergeCell ref="B200:B205"/>
    <mergeCell ref="B129:B130"/>
    <mergeCell ref="B141:B146"/>
    <mergeCell ref="B131:B132"/>
    <mergeCell ref="B55:B56"/>
    <mergeCell ref="B32:B36"/>
    <mergeCell ref="B41:B44"/>
    <mergeCell ref="B39:B40"/>
    <mergeCell ref="B45:B48"/>
    <mergeCell ref="D63:D65"/>
    <mergeCell ref="B49:B51"/>
    <mergeCell ref="B52:B54"/>
    <mergeCell ref="B61:B62"/>
    <mergeCell ref="D41:D62"/>
    <mergeCell ref="B57:B60"/>
    <mergeCell ref="D39:D40"/>
    <mergeCell ref="D23:D36"/>
    <mergeCell ref="B68:B72"/>
    <mergeCell ref="B66:B67"/>
    <mergeCell ref="B105:B106"/>
    <mergeCell ref="B110:B111"/>
    <mergeCell ref="B107:B109"/>
    <mergeCell ref="B121:B123"/>
    <mergeCell ref="B119:B120"/>
    <mergeCell ref="B117:B118"/>
    <mergeCell ref="B115:B116"/>
    <mergeCell ref="B93:B96"/>
    <mergeCell ref="B103:B104"/>
    <mergeCell ref="B112:B114"/>
    <mergeCell ref="D100:D111"/>
    <mergeCell ref="D149:D164"/>
    <mergeCell ref="D196:D199"/>
    <mergeCell ref="D73:D78"/>
    <mergeCell ref="D79:D84"/>
    <mergeCell ref="D85:D87"/>
    <mergeCell ref="D112:D114"/>
    <mergeCell ref="D115:D116"/>
    <mergeCell ref="D117:D118"/>
    <mergeCell ref="D165:D166"/>
    <mergeCell ref="D167:D168"/>
    <mergeCell ref="D169:D170"/>
    <mergeCell ref="D178:D180"/>
    <mergeCell ref="D183:D184"/>
    <mergeCell ref="D181:D182"/>
    <mergeCell ref="D185:D186"/>
    <mergeCell ref="D97:D99"/>
    <mergeCell ref="D88:D96"/>
  </mergeCells>
  <pageMargins left="0.39370078740157483" right="0.39370078740157483" top="0.59055118110236227" bottom="0.59055118110236227" header="0" footer="0"/>
  <pageSetup paperSize="9" scale="66" fitToHeight="0" orientation="portrait" r:id="rId1"/>
  <rowBreaks count="5" manualBreakCount="5">
    <brk id="44" max="8" man="1"/>
    <brk id="92" max="8" man="1"/>
    <brk id="132" max="8" man="1"/>
    <brk id="175" max="8" man="1"/>
    <brk id="215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18E8B-1004-4D4A-B00B-0C021F301FE7}">
  <sheetPr>
    <pageSetUpPr fitToPage="1"/>
  </sheetPr>
  <dimension ref="B1:G25"/>
  <sheetViews>
    <sheetView zoomScaleNormal="100" workbookViewId="0">
      <selection activeCell="B1" sqref="B1:G1"/>
    </sheetView>
  </sheetViews>
  <sheetFormatPr defaultColWidth="9.44140625" defaultRowHeight="13.2" x14ac:dyDescent="0.25"/>
  <cols>
    <col min="1" max="1" width="2.5546875" style="44" customWidth="1"/>
    <col min="2" max="2" width="4.5546875" style="44" customWidth="1"/>
    <col min="3" max="3" width="44.5546875" style="47" customWidth="1"/>
    <col min="4" max="7" width="12.109375" style="44" customWidth="1"/>
    <col min="8" max="16384" width="9.44140625" style="44"/>
  </cols>
  <sheetData>
    <row r="1" spans="2:7" ht="15.75" customHeight="1" x14ac:dyDescent="0.25">
      <c r="B1" s="302" t="s">
        <v>194</v>
      </c>
      <c r="C1" s="302"/>
      <c r="D1" s="302"/>
      <c r="E1" s="302"/>
      <c r="F1" s="302"/>
      <c r="G1" s="302"/>
    </row>
    <row r="2" spans="2:7" x14ac:dyDescent="0.25">
      <c r="C2" s="44"/>
    </row>
    <row r="3" spans="2:7" ht="66.599999999999994" customHeight="1" x14ac:dyDescent="0.25">
      <c r="B3" s="48" t="s">
        <v>195</v>
      </c>
      <c r="C3" s="120" t="s">
        <v>196</v>
      </c>
      <c r="D3" s="119" t="s">
        <v>197</v>
      </c>
      <c r="E3" s="119" t="s">
        <v>198</v>
      </c>
      <c r="F3" s="119" t="s">
        <v>199</v>
      </c>
      <c r="G3" s="119" t="s">
        <v>200</v>
      </c>
    </row>
    <row r="4" spans="2:7" ht="12.75" customHeight="1" x14ac:dyDescent="0.25">
      <c r="B4" s="136">
        <v>1</v>
      </c>
      <c r="C4" s="137">
        <v>2</v>
      </c>
      <c r="D4" s="136">
        <v>3</v>
      </c>
      <c r="E4" s="136">
        <v>4</v>
      </c>
      <c r="F4" s="136">
        <v>5</v>
      </c>
      <c r="G4" s="136">
        <v>6</v>
      </c>
    </row>
    <row r="5" spans="2:7" ht="18.75" customHeight="1" x14ac:dyDescent="0.25">
      <c r="B5" s="303" t="s">
        <v>201</v>
      </c>
      <c r="C5" s="303"/>
      <c r="D5" s="303"/>
      <c r="E5" s="303"/>
      <c r="F5" s="303"/>
      <c r="G5" s="303"/>
    </row>
    <row r="6" spans="2:7" ht="15.75" customHeight="1" x14ac:dyDescent="0.25">
      <c r="B6" s="116" t="s">
        <v>202</v>
      </c>
      <c r="C6" s="117" t="s">
        <v>111</v>
      </c>
      <c r="D6" s="118">
        <f t="shared" ref="D6:F6" si="0">+D8+D9+D10+D11+D12+D13</f>
        <v>31470.7</v>
      </c>
      <c r="E6" s="118">
        <f t="shared" si="0"/>
        <v>28122.700000000004</v>
      </c>
      <c r="F6" s="118">
        <f t="shared" si="0"/>
        <v>34412</v>
      </c>
      <c r="G6" s="118">
        <f t="shared" ref="G6" si="1">+G8+G9+G10+G11+G12+G13</f>
        <v>28782.899999999994</v>
      </c>
    </row>
    <row r="7" spans="2:7" ht="15" customHeight="1" x14ac:dyDescent="0.25">
      <c r="B7" s="50"/>
      <c r="C7" s="127" t="s">
        <v>203</v>
      </c>
      <c r="D7" s="64"/>
      <c r="E7" s="63"/>
      <c r="F7" s="63"/>
      <c r="G7" s="63"/>
    </row>
    <row r="8" spans="2:7" ht="27.75" customHeight="1" x14ac:dyDescent="0.25">
      <c r="B8" s="50" t="s">
        <v>204</v>
      </c>
      <c r="C8" s="128" t="s">
        <v>205</v>
      </c>
      <c r="D8" s="124">
        <f>SUMIF('006 programa 3 lentelė'!$C7:$C221,'006 programa 3 lentelė'!$C10,'006 programa 3 lentelė'!E7:E221)</f>
        <v>11048.500000000002</v>
      </c>
      <c r="E8" s="124">
        <f>SUMIF('006 programa 3 lentelė'!$C7:$C221,'006 programa 3 lentelė'!$C10,'006 programa 3 lentelė'!F7:F221)</f>
        <v>27788.800000000003</v>
      </c>
      <c r="F8" s="124">
        <f>SUMIF('006 programa 3 lentelė'!$C7:$C221,'006 programa 3 lentelė'!$C10,'006 programa 3 lentelė'!G7:G221)</f>
        <v>19949.5</v>
      </c>
      <c r="G8" s="124">
        <f>SUMIF('006 programa 3 lentelė'!$C7:$C221,'006 programa 3 lentelė'!$C10,'006 programa 3 lentelė'!H7:H221)</f>
        <v>22461.899999999998</v>
      </c>
    </row>
    <row r="9" spans="2:7" ht="16.5" customHeight="1" x14ac:dyDescent="0.25">
      <c r="B9" s="50" t="s">
        <v>206</v>
      </c>
      <c r="C9" s="138" t="s">
        <v>20</v>
      </c>
      <c r="D9" s="124">
        <f>SUMIF('006 programa 3 lentelė'!$C7:$C221,'006 programa 3 lentelė'!$C11,'006 programa 3 lentelė'!E7:E221)</f>
        <v>5072.3</v>
      </c>
      <c r="E9" s="124">
        <f>SUMIF('006 programa 3 lentelė'!$C7:$C221,'006 programa 3 lentelė'!$C11,'006 programa 3 lentelė'!F7:F221)</f>
        <v>0</v>
      </c>
      <c r="F9" s="124">
        <f>SUMIF('006 programa 3 lentelė'!$C7:$C221,'006 programa 3 lentelė'!$C11,'006 programa 3 lentelė'!G7:G221)</f>
        <v>0</v>
      </c>
      <c r="G9" s="124">
        <f>SUMIF('006 programa 3 lentelė'!$C7:$C221,'006 programa 3 lentelė'!$C11,'006 programa 3 lentelė'!H7:H221)</f>
        <v>0</v>
      </c>
    </row>
    <row r="10" spans="2:7" ht="15" customHeight="1" x14ac:dyDescent="0.25">
      <c r="B10" s="50" t="s">
        <v>207</v>
      </c>
      <c r="C10" s="138" t="s">
        <v>208</v>
      </c>
      <c r="D10" s="124" cm="1">
        <f t="array" ref="D10">SUMIF('006 programa 3 lentelė'!$C7:$C221,'006 programa 3 lentelė'!C00,'006 programa 3 lentelė'!E7:E221)</f>
        <v>0</v>
      </c>
      <c r="E10" s="124" cm="1">
        <f t="array" ref="E10">SUMIF('006 programa 3 lentelė'!$C7:$C221,'006 programa 3 lentelė'!C00,'006 programa 3 lentelė'!F7:F221)</f>
        <v>0</v>
      </c>
      <c r="F10" s="124" cm="1">
        <f t="array" ref="F10">SUMIF('006 programa 3 lentelė'!$C7:$C221,'006 programa 3 lentelė'!C00,'006 programa 3 lentelė'!G7:G221)</f>
        <v>0</v>
      </c>
      <c r="G10" s="124" cm="1">
        <f t="array" ref="G10">SUMIF('006 programa 3 lentelė'!$C7:$C221,'006 programa 3 lentelė'!C00,'006 programa 3 lentelė'!H7:H221)</f>
        <v>0</v>
      </c>
    </row>
    <row r="11" spans="2:7" ht="28.5" customHeight="1" x14ac:dyDescent="0.25">
      <c r="B11" s="50" t="s">
        <v>209</v>
      </c>
      <c r="C11" s="138" t="s">
        <v>29</v>
      </c>
      <c r="D11" s="124">
        <f>SUMIF('006 programa 3 lentelė'!$C7:$C221,'006 programa 3 lentelė'!$C18,'006 programa 3 lentelė'!E7:E221)</f>
        <v>409.70000000000005</v>
      </c>
      <c r="E11" s="124">
        <f>SUMIF('006 programa 3 lentelė'!$C7:$C221,'006 programa 3 lentelė'!$C18,'006 programa 3 lentelė'!F7:F221)</f>
        <v>0</v>
      </c>
      <c r="F11" s="124">
        <f>SUMIF('006 programa 3 lentelė'!$C7:$C221,'006 programa 3 lentelė'!$C18,'006 programa 3 lentelė'!G7:G221)</f>
        <v>0</v>
      </c>
      <c r="G11" s="124">
        <f>SUMIF('006 programa 3 lentelė'!$C7:$C221,'006 programa 3 lentelė'!$C18,'006 programa 3 lentelė'!H7:H221)</f>
        <v>0</v>
      </c>
    </row>
    <row r="12" spans="2:7" ht="18.600000000000001" customHeight="1" x14ac:dyDescent="0.25">
      <c r="B12" s="50" t="s">
        <v>210</v>
      </c>
      <c r="C12" s="138" t="s">
        <v>211</v>
      </c>
      <c r="D12" s="124">
        <f>SUMIF('006 programa 3 lentelė'!$C7:$C221,'006 programa 3 lentelė'!$C75,'006 programa 3 lentelė'!E7:E221)</f>
        <v>250</v>
      </c>
      <c r="E12" s="124">
        <f>SUMIF('006 programa 3 lentelė'!$C7:$C221,'006 programa 3 lentelė'!$C75,'006 programa 3 lentelė'!F7:F221)</f>
        <v>0</v>
      </c>
      <c r="F12" s="124">
        <f>SUMIF('006 programa 3 lentelė'!$C7:$C221,'006 programa 3 lentelė'!$C75,'006 programa 3 lentelė'!G7:G221)</f>
        <v>1562.1</v>
      </c>
      <c r="G12" s="124">
        <f>SUMIF('006 programa 3 lentelė'!$C7:$C221,'006 programa 3 lentelė'!$C75,'006 programa 3 lentelė'!H7:H221)</f>
        <v>887.1</v>
      </c>
    </row>
    <row r="13" spans="2:7" ht="14.25" customHeight="1" x14ac:dyDescent="0.25">
      <c r="B13" s="50" t="s">
        <v>212</v>
      </c>
      <c r="C13" s="138" t="s">
        <v>213</v>
      </c>
      <c r="D13" s="124">
        <f>SUMIF('006 programa 3 lentelė'!$C7:$C221,'006 programa 3 lentelė'!$C12,'006 programa 3 lentelė'!E7:E221)</f>
        <v>14690.199999999997</v>
      </c>
      <c r="E13" s="124">
        <f>SUMIF('006 programa 3 lentelė'!$C7:$C221,'006 programa 3 lentelė'!$C12,'006 programa 3 lentelė'!F7:F221)</f>
        <v>333.9</v>
      </c>
      <c r="F13" s="124">
        <f>SUMIF('006 programa 3 lentelė'!$C7:$C221,'006 programa 3 lentelė'!$C12,'006 programa 3 lentelė'!G7:G221)</f>
        <v>12900.4</v>
      </c>
      <c r="G13" s="124">
        <f>SUMIF('006 programa 3 lentelė'!$C7:$C221,'006 programa 3 lentelė'!$C12,'006 programa 3 lentelė'!H7:H221)</f>
        <v>5433.9</v>
      </c>
    </row>
    <row r="14" spans="2:7" ht="40.5" customHeight="1" x14ac:dyDescent="0.25">
      <c r="B14" s="49" t="s">
        <v>214</v>
      </c>
      <c r="C14" s="127" t="s">
        <v>215</v>
      </c>
      <c r="D14" s="125">
        <f>+D16+D17+D18+D19+D20+D21</f>
        <v>1340.1000000000001</v>
      </c>
      <c r="E14" s="125">
        <f t="shared" ref="E14:F14" si="2">+E16+E17+E18+E19+E20+E21</f>
        <v>6264.7</v>
      </c>
      <c r="F14" s="125">
        <f t="shared" si="2"/>
        <v>9767.2000000000007</v>
      </c>
      <c r="G14" s="125">
        <f t="shared" ref="G14" si="3">+G16+G17+G18+G19+G20+G21</f>
        <v>13517.1</v>
      </c>
    </row>
    <row r="15" spans="2:7" ht="15" customHeight="1" x14ac:dyDescent="0.25">
      <c r="B15" s="50"/>
      <c r="C15" s="127" t="s">
        <v>203</v>
      </c>
      <c r="D15" s="65"/>
      <c r="E15" s="126"/>
      <c r="F15" s="126"/>
      <c r="G15" s="126"/>
    </row>
    <row r="16" spans="2:7" ht="15" customHeight="1" x14ac:dyDescent="0.25">
      <c r="B16" s="50" t="s">
        <v>216</v>
      </c>
      <c r="C16" s="129" t="s">
        <v>217</v>
      </c>
      <c r="D16" s="124">
        <f>SUMIF('006 programa 3 lentelė'!$C7:$C221,'006 programa 3 lentelė'!$C205,'006 programa 3 lentelė'!E7:E221)</f>
        <v>0</v>
      </c>
      <c r="E16" s="124">
        <f>SUMIF('006 programa 3 lentelė'!$C7:$C221,'006 programa 3 lentelė'!$C205,'006 programa 3 lentelė'!F7:F221)</f>
        <v>762.4</v>
      </c>
      <c r="F16" s="124">
        <f>SUMIF('006 programa 3 lentelė'!$C7:$C221,'006 programa 3 lentelė'!$C205,'006 programa 3 lentelė'!G7:G221)</f>
        <v>3907.2000000000003</v>
      </c>
      <c r="G16" s="124">
        <f>SUMIF('006 programa 3 lentelė'!$C7:$C221,'006 programa 3 lentelė'!$C205,'006 programa 3 lentelė'!H7:H221)</f>
        <v>7813.7</v>
      </c>
    </row>
    <row r="17" spans="2:7" ht="16.5" customHeight="1" x14ac:dyDescent="0.25">
      <c r="B17" s="50" t="s">
        <v>218</v>
      </c>
      <c r="C17" s="129" t="s">
        <v>219</v>
      </c>
      <c r="D17" s="124" cm="1">
        <f t="array" ref="D17">SUMIF('006 programa 3 lentelė'!$C7:$C221,'006 programa 3 lentelė'!C00,'006 programa 3 lentelė'!E7:E221)</f>
        <v>0</v>
      </c>
      <c r="E17" s="124" cm="1">
        <f t="array" ref="E17">SUMIF('006 programa 3 lentelė'!$C7:$C221,'006 programa 3 lentelė'!C00,'006 programa 3 lentelė'!F7:F221)</f>
        <v>0</v>
      </c>
      <c r="F17" s="124" cm="1">
        <f t="array" ref="F17">SUMIF('006 programa 3 lentelė'!$C7:$C221,'006 programa 3 lentelė'!C00,'006 programa 3 lentelė'!G7:G221)</f>
        <v>0</v>
      </c>
      <c r="G17" s="124" cm="1">
        <f t="array" ref="G17">SUMIF('006 programa 3 lentelė'!$C7:$C221,'006 programa 3 lentelė'!C00,'006 programa 3 lentelė'!H7:H221)</f>
        <v>0</v>
      </c>
    </row>
    <row r="18" spans="2:7" ht="27" customHeight="1" x14ac:dyDescent="0.25">
      <c r="B18" s="50" t="s">
        <v>220</v>
      </c>
      <c r="C18" s="129" t="s">
        <v>221</v>
      </c>
      <c r="D18" s="124">
        <f>SUMIF('006 programa 3 lentelė'!$C7:$C221,'006 programa 3 lentelė'!$C95,'006 programa 3 lentelė'!E7:E221)</f>
        <v>0</v>
      </c>
      <c r="E18" s="124">
        <f>SUMIF('006 programa 3 lentelė'!$C7:$C221,'006 programa 3 lentelė'!$C95,'006 programa 3 lentelė'!F7:F221)</f>
        <v>194.3</v>
      </c>
      <c r="F18" s="124">
        <f>SUMIF('006 programa 3 lentelė'!$C7:$C221,'006 programa 3 lentelė'!$C95,'006 programa 3 lentelė'!G7:G221)</f>
        <v>130</v>
      </c>
      <c r="G18" s="124">
        <f>SUMIF('006 programa 3 lentelė'!$C7:$C221,'006 programa 3 lentelė'!$C95,'006 programa 3 lentelė'!H7:H221)</f>
        <v>0</v>
      </c>
    </row>
    <row r="19" spans="2:7" ht="15" customHeight="1" x14ac:dyDescent="0.25">
      <c r="B19" s="50" t="s">
        <v>222</v>
      </c>
      <c r="C19" s="129" t="s">
        <v>223</v>
      </c>
      <c r="D19" s="124">
        <f>SUMIF('006 programa 3 lentelė'!$C7:$C221,'006 programa 3 lentelė'!$C99,'006 programa 3 lentelė'!E7:E221)</f>
        <v>1200.0000000000002</v>
      </c>
      <c r="E19" s="124">
        <f>SUMIF('006 programa 3 lentelė'!$C7:$C221,'006 programa 3 lentelė'!$C99,'006 programa 3 lentelė'!F7:F221)</f>
        <v>1268.7</v>
      </c>
      <c r="F19" s="124">
        <f>SUMIF('006 programa 3 lentelė'!$C7:$C221,'006 programa 3 lentelė'!$C99,'006 programa 3 lentelė'!G7:G221)</f>
        <v>1800</v>
      </c>
      <c r="G19" s="124">
        <f>SUMIF('006 programa 3 lentelė'!$C7:$C221,'006 programa 3 lentelė'!$C99,'006 programa 3 lentelė'!H7:H221)</f>
        <v>1993.4</v>
      </c>
    </row>
    <row r="20" spans="2:7" ht="15" customHeight="1" x14ac:dyDescent="0.25">
      <c r="B20" s="50" t="s">
        <v>224</v>
      </c>
      <c r="C20" s="129" t="s">
        <v>225</v>
      </c>
      <c r="D20" s="124">
        <f>SUMIF('006 programa 3 lentelė'!$C7:$C221,'006 programa 3 lentelė'!$C36,'006 programa 3 lentelė'!E7:E221)</f>
        <v>140.1</v>
      </c>
      <c r="E20" s="124">
        <f>SUMIF('006 programa 3 lentelė'!$C7:$C221,'006 programa 3 lentelė'!$C36,'006 programa 3 lentelė'!F7:F221)</f>
        <v>529.29999999999995</v>
      </c>
      <c r="F20" s="124">
        <f>SUMIF('006 programa 3 lentelė'!$C7:$C221,'006 programa 3 lentelė'!$C36,'006 programa 3 lentelė'!G7:G221)</f>
        <v>0</v>
      </c>
      <c r="G20" s="124">
        <f>SUMIF('006 programa 3 lentelė'!$C7:$C221,'006 programa 3 lentelė'!$C36,'006 programa 3 lentelė'!H7:H221)</f>
        <v>0</v>
      </c>
    </row>
    <row r="21" spans="2:7" ht="18.75" customHeight="1" x14ac:dyDescent="0.25">
      <c r="B21" s="50" t="s">
        <v>226</v>
      </c>
      <c r="C21" s="129" t="s">
        <v>227</v>
      </c>
      <c r="D21" s="124">
        <f>SUMIF('006 programa 3 lentelė'!$C7:$C221,'006 programa 3 lentelė'!$C43,'006 programa 3 lentelė'!E7:E221)</f>
        <v>0</v>
      </c>
      <c r="E21" s="124">
        <f>SUMIF('006 programa 3 lentelė'!$C7:$C221,'006 programa 3 lentelė'!$C43,'006 programa 3 lentelė'!F7:F221)</f>
        <v>3510</v>
      </c>
      <c r="F21" s="124">
        <f>SUMIF('006 programa 3 lentelė'!$C7:$C221,'006 programa 3 lentelė'!$C43,'006 programa 3 lentelė'!G7:G221)</f>
        <v>3930</v>
      </c>
      <c r="G21" s="124">
        <f>SUMIF('006 programa 3 lentelė'!$C7:$C221,'006 programa 3 lentelė'!$C43,'006 programa 3 lentelė'!H7:H221)</f>
        <v>3710</v>
      </c>
    </row>
    <row r="22" spans="2:7" ht="26.4" x14ac:dyDescent="0.25">
      <c r="B22" s="50"/>
      <c r="C22" s="138" t="s">
        <v>228</v>
      </c>
      <c r="D22" s="126">
        <f t="shared" ref="D22:F22" si="4">+D6+D14</f>
        <v>32810.800000000003</v>
      </c>
      <c r="E22" s="126">
        <f t="shared" si="4"/>
        <v>34387.4</v>
      </c>
      <c r="F22" s="126">
        <f t="shared" si="4"/>
        <v>44179.199999999997</v>
      </c>
      <c r="G22" s="126">
        <f t="shared" ref="G22" si="5">+G6+G14</f>
        <v>42299.999999999993</v>
      </c>
    </row>
    <row r="23" spans="2:7" ht="14.25" customHeight="1" x14ac:dyDescent="0.25">
      <c r="B23" s="50"/>
      <c r="C23" s="138" t="s">
        <v>185</v>
      </c>
      <c r="D23" s="65">
        <f>+'006 programa 3 lentelė'!E220</f>
        <v>163</v>
      </c>
      <c r="E23" s="65">
        <f>+'006 programa 3 lentelė'!F220</f>
        <v>1123.3999999999999</v>
      </c>
      <c r="F23" s="65">
        <f>+'006 programa 3 lentelė'!G220</f>
        <v>4209.6000000000004</v>
      </c>
      <c r="G23" s="65">
        <f>+'006 programa 3 lentelė'!H220</f>
        <v>12205.4</v>
      </c>
    </row>
    <row r="24" spans="2:7" ht="30" customHeight="1" x14ac:dyDescent="0.25">
      <c r="B24" s="50"/>
      <c r="C24" s="138" t="s">
        <v>186</v>
      </c>
      <c r="D24" s="65"/>
      <c r="E24" s="65">
        <f>+'006 programa 3 lentelė'!F221</f>
        <v>1576.5999999999985</v>
      </c>
      <c r="F24" s="65">
        <f>+'006 programa 3 lentelė'!G221</f>
        <v>9791.7999999999956</v>
      </c>
      <c r="G24" s="65">
        <f>+'006 programa 3 lentelė'!H221</f>
        <v>-1879.2000000000044</v>
      </c>
    </row>
    <row r="25" spans="2:7" x14ac:dyDescent="0.25">
      <c r="B25" s="51"/>
      <c r="C25" s="52"/>
      <c r="D25" s="52"/>
      <c r="E25" s="51"/>
      <c r="F25" s="51"/>
      <c r="G25" s="51"/>
    </row>
  </sheetData>
  <mergeCells count="2">
    <mergeCell ref="B1:G1"/>
    <mergeCell ref="B5:G5"/>
  </mergeCells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006 programa 3 lentelė</vt:lpstr>
      <vt:lpstr>Lėšų suvestinė 2 lentelė</vt:lpstr>
      <vt:lpstr>'006 programa 3 lentelė'!Print_Area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Inga Mikalauskienė</cp:lastModifiedBy>
  <cp:revision/>
  <cp:lastPrinted>2024-12-19T09:51:15Z</cp:lastPrinted>
  <dcterms:created xsi:type="dcterms:W3CDTF">2023-07-11T10:34:54Z</dcterms:created>
  <dcterms:modified xsi:type="dcterms:W3CDTF">2024-12-20T07:56:45Z</dcterms:modified>
  <cp:category/>
  <cp:contentStatus/>
</cp:coreProperties>
</file>