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gluosnis\Kmsa\Savivaldybės administracija\BENDROSIOS VALDYMO FUNKCIJOS\Strateginio planavimo skyrius\SVP PLANAI\2025-2027 SVP\Komitetams 2024-12-19\"/>
    </mc:Choice>
  </mc:AlternateContent>
  <xr:revisionPtr revIDLastSave="0" documentId="13_ncr:1_{72962081-BD81-45D6-8808-79FC383A9D7C}" xr6:coauthVersionLast="47" xr6:coauthVersionMax="47" xr10:uidLastSave="{00000000-0000-0000-0000-000000000000}"/>
  <bookViews>
    <workbookView xWindow="-135" yWindow="-135" windowWidth="38670" windowHeight="21150" xr2:uid="{EF082B20-5454-481E-8ECF-44F36E11C9BB}"/>
  </bookViews>
  <sheets>
    <sheet name="10 programa 3 lentelė" sheetId="1" r:id="rId1"/>
    <sheet name="Lėšų suvestinė 2 lentelė" sheetId="3" r:id="rId2"/>
  </sheets>
  <definedNames>
    <definedName name="_xlnm.Print_Area" localSheetId="0">'10 programa 3 lentelė'!$A$1:$I$399</definedName>
    <definedName name="_xlnm.Print_Titles" localSheetId="0">'10 programa 3 lentelė'!$3:$3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66" i="1" l="1"/>
  <c r="H266" i="1"/>
  <c r="G266" i="1"/>
  <c r="G199" i="1"/>
  <c r="F29" i="1"/>
  <c r="G244" i="1"/>
  <c r="F8" i="1"/>
  <c r="F38" i="1"/>
  <c r="F240" i="1"/>
  <c r="F256" i="1"/>
  <c r="F17" i="1"/>
  <c r="F99" i="1"/>
  <c r="G99" i="1"/>
  <c r="F24" i="1"/>
  <c r="F86" i="1"/>
  <c r="F358" i="1"/>
  <c r="F15" i="1"/>
  <c r="F43" i="1"/>
  <c r="F186" i="1"/>
  <c r="H184" i="1"/>
  <c r="H190" i="1"/>
  <c r="G184" i="1"/>
  <c r="F184" i="1"/>
  <c r="G186" i="1"/>
  <c r="F313" i="1"/>
  <c r="F318" i="1" s="1"/>
  <c r="F69" i="1"/>
  <c r="H389" i="1"/>
  <c r="G389" i="1"/>
  <c r="F389" i="1"/>
  <c r="F74" i="1"/>
  <c r="F42" i="1"/>
  <c r="F90" i="1"/>
  <c r="F62" i="1"/>
  <c r="F55" i="1"/>
  <c r="F293" i="1"/>
  <c r="F135" i="1"/>
  <c r="E135" i="1"/>
  <c r="F334" i="1"/>
  <c r="F333" i="1"/>
  <c r="F303" i="1"/>
  <c r="F291" i="1"/>
  <c r="F270" i="1"/>
  <c r="F268" i="1" s="1"/>
  <c r="F265" i="1"/>
  <c r="E124" i="1"/>
  <c r="G232" i="1"/>
  <c r="G259" i="1"/>
  <c r="G264" i="1" s="1"/>
  <c r="F259" i="1"/>
  <c r="F384" i="1"/>
  <c r="G384" i="1"/>
  <c r="H384" i="1"/>
  <c r="E385" i="1"/>
  <c r="F385" i="1"/>
  <c r="G385" i="1"/>
  <c r="H385" i="1"/>
  <c r="G236" i="1"/>
  <c r="G235" i="1"/>
  <c r="G234" i="1"/>
  <c r="G233" i="1"/>
  <c r="D16" i="3"/>
  <c r="G270" i="1"/>
  <c r="G268" i="1" s="1"/>
  <c r="H270" i="1"/>
  <c r="H268" i="1" s="1"/>
  <c r="E270" i="1"/>
  <c r="E268" i="1" s="1"/>
  <c r="E15" i="1"/>
  <c r="E311" i="1"/>
  <c r="G155" i="1"/>
  <c r="H155" i="1"/>
  <c r="F155" i="1"/>
  <c r="E389" i="1"/>
  <c r="E303" i="1"/>
  <c r="E301" i="1" s="1"/>
  <c r="E293" i="1"/>
  <c r="E292" i="1"/>
  <c r="E265" i="1"/>
  <c r="E143" i="1"/>
  <c r="E139" i="1"/>
  <c r="E137" i="1"/>
  <c r="G19" i="3"/>
  <c r="G16" i="3"/>
  <c r="G13" i="3"/>
  <c r="G12" i="3"/>
  <c r="G11" i="3"/>
  <c r="G10" i="3"/>
  <c r="G20" i="3" a="1"/>
  <c r="G20" i="3" s="1"/>
  <c r="F20" i="3" a="1"/>
  <c r="F20" i="3" s="1"/>
  <c r="E20" i="3" a="1"/>
  <c r="E20" i="3"/>
  <c r="F19" i="3"/>
  <c r="F10" i="3"/>
  <c r="F16" i="3"/>
  <c r="F13" i="3"/>
  <c r="F12" i="3"/>
  <c r="F11" i="3"/>
  <c r="G21" i="3" a="1"/>
  <c r="G21" i="3"/>
  <c r="F21" i="3" a="1"/>
  <c r="F21" i="3" s="1"/>
  <c r="E21" i="3" a="1"/>
  <c r="E21" i="3" s="1"/>
  <c r="E19" i="3"/>
  <c r="G18" i="3" a="1"/>
  <c r="G18" i="3" s="1"/>
  <c r="F18" i="3" a="1"/>
  <c r="F18" i="3" s="1"/>
  <c r="E18" i="3" a="1"/>
  <c r="E18" i="3"/>
  <c r="G17" i="3" a="1"/>
  <c r="G17" i="3" s="1"/>
  <c r="F17" i="3" a="1"/>
  <c r="F17" i="3"/>
  <c r="E17" i="3" a="1"/>
  <c r="E17" i="3" s="1"/>
  <c r="E16" i="3"/>
  <c r="E13" i="3"/>
  <c r="E12" i="3"/>
  <c r="E11" i="3"/>
  <c r="D20" i="3" a="1"/>
  <c r="D20" i="3"/>
  <c r="D21" i="3" a="1"/>
  <c r="D21" i="3" s="1"/>
  <c r="E10" i="3"/>
  <c r="G392" i="1"/>
  <c r="F23" i="3" s="1"/>
  <c r="H392" i="1"/>
  <c r="F392" i="1"/>
  <c r="H319" i="1"/>
  <c r="G319" i="1"/>
  <c r="F319" i="1"/>
  <c r="H318" i="1"/>
  <c r="G318" i="1"/>
  <c r="E319" i="1"/>
  <c r="E309" i="1"/>
  <c r="H303" i="1"/>
  <c r="G303" i="1"/>
  <c r="H293" i="1"/>
  <c r="G293" i="1"/>
  <c r="H292" i="1"/>
  <c r="G292" i="1"/>
  <c r="F292" i="1"/>
  <c r="F289" i="1" s="1"/>
  <c r="H367" i="1"/>
  <c r="G367" i="1"/>
  <c r="F367" i="1"/>
  <c r="E367" i="1"/>
  <c r="H366" i="1"/>
  <c r="G366" i="1"/>
  <c r="F366" i="1"/>
  <c r="E366" i="1"/>
  <c r="H365" i="1"/>
  <c r="H334" i="1"/>
  <c r="G334" i="1"/>
  <c r="E334" i="1"/>
  <c r="H333" i="1"/>
  <c r="G333" i="1"/>
  <c r="E333" i="1"/>
  <c r="H291" i="1"/>
  <c r="H289" i="1" s="1"/>
  <c r="G291" i="1"/>
  <c r="G289" i="1" s="1"/>
  <c r="H267" i="1"/>
  <c r="G267" i="1"/>
  <c r="F267" i="1"/>
  <c r="H265" i="1"/>
  <c r="G265" i="1"/>
  <c r="H264" i="1"/>
  <c r="H137" i="1"/>
  <c r="G137" i="1"/>
  <c r="F137" i="1"/>
  <c r="H136" i="1"/>
  <c r="G136" i="1"/>
  <c r="F136" i="1"/>
  <c r="H124" i="1"/>
  <c r="G124" i="1"/>
  <c r="F124" i="1"/>
  <c r="H123" i="1"/>
  <c r="G123" i="1"/>
  <c r="F123" i="1"/>
  <c r="H120" i="1"/>
  <c r="G120" i="1"/>
  <c r="F120" i="1"/>
  <c r="H119" i="1"/>
  <c r="G119" i="1"/>
  <c r="F119" i="1"/>
  <c r="H118" i="1"/>
  <c r="G118" i="1"/>
  <c r="F118" i="1"/>
  <c r="H116" i="1"/>
  <c r="G116" i="1"/>
  <c r="E358" i="1"/>
  <c r="E356" i="1"/>
  <c r="E352" i="1"/>
  <c r="E350" i="1"/>
  <c r="E343" i="1"/>
  <c r="E340" i="1"/>
  <c r="E338" i="1"/>
  <c r="E307" i="1"/>
  <c r="E278" i="1"/>
  <c r="E253" i="1"/>
  <c r="E251" i="1"/>
  <c r="E248" i="1"/>
  <c r="E244" i="1"/>
  <c r="E238" i="1"/>
  <c r="E230" i="1"/>
  <c r="E226" i="1"/>
  <c r="E222" i="1"/>
  <c r="E208" i="1"/>
  <c r="E206" i="1"/>
  <c r="E204" i="1"/>
  <c r="E266" i="1" s="1"/>
  <c r="E203" i="1"/>
  <c r="E196" i="1"/>
  <c r="E184" i="1"/>
  <c r="E129" i="1"/>
  <c r="F168" i="1"/>
  <c r="G168" i="1"/>
  <c r="H168" i="1"/>
  <c r="E168" i="1"/>
  <c r="E173" i="1"/>
  <c r="F173" i="1"/>
  <c r="G173" i="1"/>
  <c r="H173" i="1"/>
  <c r="E95" i="1"/>
  <c r="E106" i="1"/>
  <c r="E104" i="1"/>
  <c r="E123" i="1" s="1"/>
  <c r="E102" i="1"/>
  <c r="E99" i="1"/>
  <c r="E90" i="1"/>
  <c r="E88" i="1"/>
  <c r="E86" i="1"/>
  <c r="E80" i="1"/>
  <c r="E69" i="1"/>
  <c r="E55" i="1"/>
  <c r="E43" i="1"/>
  <c r="E118" i="1" s="1"/>
  <c r="E42" i="1"/>
  <c r="E24" i="1"/>
  <c r="E17" i="1"/>
  <c r="E10" i="1"/>
  <c r="E119" i="1" s="1"/>
  <c r="E8" i="1"/>
  <c r="G8" i="3"/>
  <c r="E242" i="1"/>
  <c r="F160" i="1"/>
  <c r="G160" i="1"/>
  <c r="H160" i="1"/>
  <c r="E164" i="1"/>
  <c r="G25" i="1"/>
  <c r="H25" i="1"/>
  <c r="F25" i="1"/>
  <c r="F117" i="1" s="1"/>
  <c r="G345" i="1"/>
  <c r="F345" i="1"/>
  <c r="F365" i="1" s="1"/>
  <c r="E318" i="1" l="1"/>
  <c r="E264" i="1"/>
  <c r="F264" i="1"/>
  <c r="F262" i="1" s="1"/>
  <c r="E116" i="1"/>
  <c r="F133" i="1"/>
  <c r="E136" i="1"/>
  <c r="E133" i="1" s="1"/>
  <c r="G135" i="1"/>
  <c r="G133" i="1" s="1"/>
  <c r="H135" i="1"/>
  <c r="H133" i="1" s="1"/>
  <c r="F116" i="1"/>
  <c r="H382" i="1"/>
  <c r="G382" i="1"/>
  <c r="F382" i="1"/>
  <c r="E8" i="3"/>
  <c r="G365" i="1"/>
  <c r="F8" i="3"/>
  <c r="E9" i="3"/>
  <c r="H117" i="1"/>
  <c r="H114" i="1" s="1"/>
  <c r="G9" i="3"/>
  <c r="G117" i="1"/>
  <c r="G114" i="1" s="1"/>
  <c r="F9" i="3"/>
  <c r="D19" i="3"/>
  <c r="E121" i="1"/>
  <c r="F114" i="1"/>
  <c r="E14" i="3"/>
  <c r="E6" i="3" l="1"/>
  <c r="E22" i="3" s="1"/>
  <c r="E23" i="3"/>
  <c r="G23" i="3"/>
  <c r="F387" i="1"/>
  <c r="G387" i="1"/>
  <c r="H387" i="1"/>
  <c r="F373" i="1"/>
  <c r="G373" i="1"/>
  <c r="H373" i="1"/>
  <c r="F369" i="1"/>
  <c r="G369" i="1"/>
  <c r="H369" i="1"/>
  <c r="H363" i="1"/>
  <c r="G331" i="1"/>
  <c r="H331" i="1"/>
  <c r="F316" i="1"/>
  <c r="G316" i="1"/>
  <c r="H316" i="1"/>
  <c r="H301" i="1"/>
  <c r="F151" i="1"/>
  <c r="G151" i="1"/>
  <c r="H151" i="1"/>
  <c r="F147" i="1"/>
  <c r="G147" i="1"/>
  <c r="H147" i="1"/>
  <c r="F143" i="1"/>
  <c r="G143" i="1"/>
  <c r="H143" i="1"/>
  <c r="F139" i="1"/>
  <c r="G139" i="1"/>
  <c r="H139" i="1"/>
  <c r="F121" i="1"/>
  <c r="H121" i="1"/>
  <c r="E347" i="1"/>
  <c r="F331" i="1" l="1"/>
  <c r="F363" i="1"/>
  <c r="F301" i="1"/>
  <c r="F391" i="1" s="1"/>
  <c r="H262" i="1"/>
  <c r="H391" i="1" s="1"/>
  <c r="E387" i="1"/>
  <c r="E276" i="1"/>
  <c r="E273" i="1"/>
  <c r="E257" i="1"/>
  <c r="E267" i="1" s="1"/>
  <c r="E262" i="1" s="1"/>
  <c r="E155" i="1"/>
  <c r="E100" i="1"/>
  <c r="E76" i="1"/>
  <c r="E72" i="1"/>
  <c r="E70" i="1"/>
  <c r="E65" i="1"/>
  <c r="E49" i="1"/>
  <c r="E27" i="1"/>
  <c r="E22" i="1"/>
  <c r="E20" i="1"/>
  <c r="E18" i="1"/>
  <c r="E13" i="1"/>
  <c r="E11" i="1"/>
  <c r="E120" i="1" s="1"/>
  <c r="E9" i="1"/>
  <c r="D11" i="3"/>
  <c r="E392" i="1"/>
  <c r="E117" i="1" l="1"/>
  <c r="E114" i="1" s="1"/>
  <c r="E26" i="3"/>
  <c r="E291" i="1"/>
  <c r="E289" i="1" s="1"/>
  <c r="G121" i="1"/>
  <c r="G301" i="1"/>
  <c r="D23" i="3"/>
  <c r="E316" i="1"/>
  <c r="E361" i="1" l="1"/>
  <c r="E378" i="1"/>
  <c r="E384" i="1" s="1"/>
  <c r="E382" i="1" s="1"/>
  <c r="E331" i="1"/>
  <c r="D18" i="3" a="1"/>
  <c r="D18" i="3" s="1"/>
  <c r="D17" i="3" a="1"/>
  <c r="D17" i="3" s="1"/>
  <c r="D13" i="3"/>
  <c r="D10" i="3"/>
  <c r="E373" i="1"/>
  <c r="E369" i="1"/>
  <c r="E151" i="1"/>
  <c r="E365" i="1" l="1"/>
  <c r="E363" i="1" s="1"/>
  <c r="D8" i="3"/>
  <c r="G363" i="1"/>
  <c r="D12" i="3"/>
  <c r="G262" i="1"/>
  <c r="G391" i="1" s="1"/>
  <c r="D9" i="3"/>
  <c r="D14" i="3"/>
  <c r="E147" i="1"/>
  <c r="D6" i="3" l="1"/>
  <c r="E391" i="1"/>
  <c r="F393" i="1"/>
  <c r="E24" i="3" s="1"/>
  <c r="G393" i="1"/>
  <c r="H393" i="1"/>
  <c r="G24" i="3" s="1"/>
  <c r="D22" i="3"/>
  <c r="D26" i="3" s="1"/>
  <c r="F24" i="3" l="1"/>
  <c r="F14" i="3"/>
  <c r="F6" i="3"/>
  <c r="F22" i="3" s="1"/>
  <c r="F26" i="3" s="1"/>
  <c r="G6" i="3" l="1"/>
  <c r="G14" i="3"/>
  <c r="G22" i="3" l="1"/>
  <c r="G26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Gintarė Skirmantienė</author>
    <author>Snieguolė Kačerauskaitė</author>
    <author>Rima Ališauskė</author>
  </authors>
  <commentList>
    <comment ref="C28" authorId="0" shapeId="0" xr:uid="{1F477B91-7639-44E5-BE2B-F7CB77F6F1F1}">
      <text>
        <r>
          <rPr>
            <sz val="11"/>
            <color theme="1"/>
            <rFont val="Calibri"/>
            <family val="2"/>
            <charset val="186"/>
            <scheme val="minor"/>
          </rPr>
          <t>Gintarė Skirmantienė:
1.KMS 24 000 Eur laikinai finansuota suma (t.y 20 proc. bendros projekto finanavimo sumos), kuri pasibaigus  Projektui (2025-10-31) bus grąžinta į savivaldybės biudžetą.</t>
        </r>
      </text>
    </comment>
    <comment ref="C31" authorId="0" shapeId="0" xr:uid="{CF0B28BC-7200-42E8-9A74-1D989F87E86F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Gintarė Skirmantienė:
1. KMS 5 536 Eur laikinai finansuota suma (t.y 20 proc. bendros projekto finanavimo sumos), kuri pasibaigus  Projektui (2025-08-31) bus grąžinta į savivaldybės biudžetą.
</t>
        </r>
      </text>
    </comment>
    <comment ref="C33" authorId="0" shapeId="0" xr:uid="{CF452620-8B42-41BD-9A7E-502900BAC346}">
      <text>
        <r>
          <rPr>
            <sz val="11"/>
            <color theme="1"/>
            <rFont val="Calibri"/>
            <family val="2"/>
            <charset val="186"/>
            <scheme val="minor"/>
          </rPr>
          <t>Gintarė Skirmantienė:
1.KMS 8 370,3 Eur laikinai finansuota suma (t.y 20 proc. bendros projekto finanavimo sumos), kuri pasibaigus  Projektui (2025-08-31) bus grąžinta į savivaldybės biudžetą.</t>
        </r>
      </text>
    </comment>
    <comment ref="C35" authorId="0" shapeId="0" xr:uid="{A46DDA52-9305-4717-AEDB-2F8EFA6E686A}">
      <text>
        <r>
          <rPr>
            <sz val="11"/>
            <color theme="1"/>
            <rFont val="Calibri"/>
            <family val="2"/>
            <charset val="186"/>
            <scheme val="minor"/>
          </rPr>
          <t>Gintarė Skirmantienė:
1. KMS 6 352 Eur laikinai finansuota suma (t.y 20 proc. bendros projekto finanavimo sumos), kuri pasibaigus  Projektui (2025-08-31) bus grąžinta į savivaldybės biudžetą.</t>
        </r>
      </text>
    </comment>
    <comment ref="C37" authorId="0" shapeId="0" xr:uid="{22BB108A-486E-4437-AAFA-32A84459F411}">
      <text>
        <r>
          <rPr>
            <sz val="11"/>
            <color theme="1"/>
            <rFont val="Calibri"/>
            <family val="2"/>
            <charset val="186"/>
            <scheme val="minor"/>
          </rPr>
          <t>Gintarė Skirmantienė:
1.KMS 2 290 Eur laikinai finansuota suma (t.y 20 proc. bendros projekto finanavimo sumos), kuri pasibaigus  Projektui (2026-06-15) bus grąžinta į savivaldybės biudžetą.</t>
        </r>
      </text>
    </comment>
    <comment ref="C41" authorId="1" shapeId="0" xr:uid="{E6CFD608-AC9C-4DBC-921A-5674AA0BD2F6}">
      <text>
        <r>
          <rPr>
            <sz val="11"/>
            <color theme="1"/>
            <rFont val="Calibri"/>
            <family val="2"/>
            <charset val="186"/>
            <scheme val="minor"/>
          </rPr>
          <t>Pažangos plane numatytoms veikloms įgyvendinti iki 2026-04-30 skiriama iki 12 563 953,81 Eur:
1. „Žaliakalnio“  gimnazija,
2. „Aitvaro“ gimnazija,
3. „Santarvės“ progimnazija,
4. „Smeltės“ progimnazija,
5. Liudviko Stulpino progimnazija,
6. „Saulėtekio“ progimnazija.</t>
        </r>
      </text>
    </comment>
    <comment ref="F51" authorId="1" shapeId="0" xr:uid="{8EB2A45C-500C-4AF1-B2C2-15F87CF09841}">
      <text>
        <r>
          <rPr>
            <sz val="11"/>
            <color theme="1"/>
            <rFont val="Calibri"/>
            <family val="2"/>
            <charset val="186"/>
            <scheme val="minor"/>
          </rPr>
          <t>Planuojamas vaikų skaičius - 2200 (55 daugiau, ne 2024 m.) ir pabrango paslauga.</t>
        </r>
      </text>
    </comment>
    <comment ref="C67" authorId="1" shapeId="0" xr:uid="{0B118F23-1533-4380-91C0-1477B3FBB2E0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KMS finansinis prisidėjimas prie Projekto iš savivaldybės biudžeto – 249 100 Eur, iš jų: 
1. 24 910 Eur suma negrąžinamai;
2. 224 190 Eur laikinai finansuota suma, kuri iki Projekto pabaigos bus grąžinta į savivaldybės biudžetą.
</t>
        </r>
      </text>
    </comment>
    <comment ref="E82" authorId="1" shapeId="0" xr:uid="{C3D6DDD8-E863-4793-949B-BAAAED94EF0C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2024 m. rugsėjo 1 d. 5–12 (14 komplektų) klasėse mokomi 243 mokiniai. 
</t>
        </r>
      </text>
    </comment>
    <comment ref="F82" authorId="1" shapeId="0" xr:uid="{1CE6F4D4-EBE9-440D-80AC-930F1C0EEF00}">
      <text>
        <r>
          <rPr>
            <sz val="11"/>
            <color theme="1"/>
            <rFont val="Calibri"/>
            <family val="2"/>
            <charset val="186"/>
            <scheme val="minor"/>
          </rPr>
          <t>Planuojama, kad 2025 m. 5–12 (15 komplektų) klasėse mokysis 280 mokinių.</t>
        </r>
      </text>
    </comment>
    <comment ref="G82" authorId="1" shapeId="0" xr:uid="{CA6E524E-B619-443C-A4E0-F128A4B582C8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Planuojama, kad 2026 m. 5–12 (16 komplektų) klasėse mokysis 300 mokinių. 
</t>
        </r>
      </text>
    </comment>
    <comment ref="H82" authorId="1" shapeId="0" xr:uid="{08AA80B7-A1C2-4D9F-ACB0-A96E051AE129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Planuojama, kad 2026 m. 5–12 (16 komplektų) klasėse mokysis 300 mokinių. 
</t>
        </r>
      </text>
    </comment>
    <comment ref="F97" authorId="1" shapeId="0" xr:uid="{AF467A06-42F9-4E71-ACDE-B65659B5022F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Papildomas poreikis 2025 m.: 
1. “Žaliakalnio” gimnazijoje EMP  sistemos įdiegimui – 21818 Eur + 4207 Eur 700 kortelių įsigyti. 
2. 2524,2 Eur mokyklų-darželių pradinių klasių mokiniams (naujoms kortelėms).
3. Naujai atvykusiems mokiniams (1000) 6010 Eur.
</t>
        </r>
      </text>
    </comment>
    <comment ref="F226" authorId="2" shapeId="0" xr:uid="{AF33C168-6AC1-411E-A635-966544FC52B7}">
      <text>
        <r>
          <rPr>
            <sz val="11"/>
            <color theme="1"/>
            <rFont val="Calibri"/>
            <family val="2"/>
            <charset val="186"/>
            <scheme val="minor"/>
          </rPr>
          <t>Rima Ališauskė:
lėšos perkeliamos iš 2024 m., nes dėl užsitęsusių viešųjų pirkimų procedūrų, perkant baldų projektą, nusikėlė ir pačių baldų gamybos pirkimas.</t>
        </r>
      </text>
    </comment>
    <comment ref="F259" authorId="1" shapeId="0" xr:uid="{7C6BF259-C57D-4FD4-95F4-BA26924729CE}">
      <text>
        <r>
          <rPr>
            <sz val="11"/>
            <color theme="1"/>
            <rFont val="Calibri"/>
            <family val="2"/>
            <charset val="186"/>
            <scheme val="minor"/>
          </rPr>
          <t>Patikslinta 11-07</t>
        </r>
      </text>
    </comment>
    <comment ref="C280" authorId="0" shapeId="0" xr:uid="{85896D4C-2A09-47A9-9D8C-E450261EFF54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Gintarė Skirmantienė:
1. VDU erdvių įrengimui (tęstinis finansavimas)- 150 tūkst.Eur;
2.Smelės progimnazijai (naujas finansavimas) 2 vnt. konteinerio/sandėliuko įsigijimui - 31 tūkst.Eur.
 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<sst xmlns="http://schemas.openxmlformats.org/spreadsheetml/2006/main" count="691" uniqueCount="356">
  <si>
    <t>Aiškinamojo rašto priedas</t>
  </si>
  <si>
    <t>3 lentelė. Klaipėdos miesto savivaldybės 2024–2027 metų 010 Ugdymo proceso užtikrinimo programos uždaviniai, priemonės, asignavimai ir kitos lėšos (tūkst. eurų)</t>
  </si>
  <si>
    <t>Programos uždavinio, priemonės kodas ir požymis</t>
  </si>
  <si>
    <t>Uždavinio, priemonės pavadinimas, finansavimo šaltiniai</t>
  </si>
  <si>
    <t>Vykdytojas (skyrius / asmuo)</t>
  </si>
  <si>
    <t>2024 metų asignavimai ir kitos lėšos</t>
  </si>
  <si>
    <t>2025 metų asignavimai ir kitos lėšos</t>
  </si>
  <si>
    <t>2026 metų asignavimai ir kitos lėšos</t>
  </si>
  <si>
    <t>2027 metų asignavimai ir kitos lėšos</t>
  </si>
  <si>
    <t>Savivaldybės strateginio plėtros plano priemonės kodas</t>
  </si>
  <si>
    <t>010-01 (T)</t>
  </si>
  <si>
    <t>Uždavinys: Sudaryti sąlygas ugdytis ir gerinti ugdymo proceso kokybę</t>
  </si>
  <si>
    <t>010-01-01 (TP)</t>
  </si>
  <si>
    <t>Priemonė: Veiklos organizavimo užtikrinimas švietimo įstaigose</t>
  </si>
  <si>
    <t>010-01-01-01</t>
  </si>
  <si>
    <t>Ugdymo proceso ir aplinkos užtikrinimas savivaldybės ikimokyklinio ugdymo įstaigose</t>
  </si>
  <si>
    <t>ŠSD Švietimo skyrius, Biudžetinės švietimo įstaigos</t>
  </si>
  <si>
    <t>1.3.2.5.</t>
  </si>
  <si>
    <t>Savivaldybės biudžeto lėšos (nuosavos, be ankstesnių metų likučio)</t>
  </si>
  <si>
    <t>Lietuvos Respublikos valstybės biudžeto dotacijos</t>
  </si>
  <si>
    <t>Pajamų įmokos ir kitos pajamos</t>
  </si>
  <si>
    <t>Ankstesnių metų likučiai</t>
  </si>
  <si>
    <t>010-01-01-02</t>
  </si>
  <si>
    <t>Ugdymo proceso užtikrinimas nevalstybinėse ikimokyklinio ugdymo įstaigose</t>
  </si>
  <si>
    <t>010-01-01-03</t>
  </si>
  <si>
    <t xml:space="preserve">Mokinio padėjėjų etatų skaičiaus užtikrinimas </t>
  </si>
  <si>
    <t>010-01-01-04</t>
  </si>
  <si>
    <t>Ugdymo proceso ir aplinkos užtikrinimas savivaldybės pradinėje mokykloje ir mokyklose-darželiuose</t>
  </si>
  <si>
    <t>010-01-01-05</t>
  </si>
  <si>
    <t>Ugdymo proceso užtikrinimas nevalstybinėje pradinėje mokykloje ir mokyklose-darželiuose</t>
  </si>
  <si>
    <t>010-01-01-06</t>
  </si>
  <si>
    <t xml:space="preserve">Ugdymo proceso ir aplinkos užtikrinimas savivaldybės bendrojo ugdymo mokyklose </t>
  </si>
  <si>
    <t>Projekto „Įdomus faktorius: sužaidybinimas įtraukiajam ugdymui“ įgyvendinimas Litorinos mokykloje</t>
  </si>
  <si>
    <t>Kiti šaltiniai (Europos Sąjungos paramos lėšos)</t>
  </si>
  <si>
    <t>010-01-01-07</t>
  </si>
  <si>
    <t>Projekto „Erasmus+ akreditacijos KA121 “ įgyvendinimas Gedminų progimnazijos mokykloje</t>
  </si>
  <si>
    <t>010-01-01-08</t>
  </si>
  <si>
    <t>Projekto „Erasmus+ Informatinis mąstymas ir matematinis problemų sprendimas, analitika grindžiama mokymosi aplinka“ įgyvendinimas Gedminų progimnazijos mokykloje</t>
  </si>
  <si>
    <t>010-01-01-09</t>
  </si>
  <si>
    <t>Projekto Nordplus Junior „Kurkime ateitį kartu“  įgyvendinimas Gedminų progimnazijos mokykloje</t>
  </si>
  <si>
    <t>010-01-01-10</t>
  </si>
  <si>
    <t>Projekto Nordplus Junior „Mokytojai netradicinėje aplinkoje" įgyvendinimas Gedminų progimnazijos mokykloje</t>
  </si>
  <si>
    <t>Karjeros specialistų etatų įvedimas ir didinimas švietimo įstaigose</t>
  </si>
  <si>
    <t>010-01-01-11</t>
  </si>
  <si>
    <t>„Tūkstantmečio mokyklų“ programos įgyvendinimas</t>
  </si>
  <si>
    <t>Europos Sąjungos ir kitos tarptautinės finansinės paramos lėšos</t>
  </si>
  <si>
    <t>MVPD Statinių administravimo skyrius</t>
  </si>
  <si>
    <t>Projektų skyrius</t>
  </si>
  <si>
    <t>010-01-01-12</t>
  </si>
  <si>
    <t xml:space="preserve">Ugdymo proceso užtikrinimas nevalstybinėse bendrojo ugdymo mokyklose </t>
  </si>
  <si>
    <t>010-01-01-13</t>
  </si>
  <si>
    <t>Klaipėdos miesto bendrojo ugdymo mokyklų antrųjų klasių mokinių vežimo paslaugos mokyti plaukti užtikrinimas</t>
  </si>
  <si>
    <t>ŠSD Švietimo skyrius</t>
  </si>
  <si>
    <t>010-01-01-14</t>
  </si>
  <si>
    <t>Klaipėdos Simono Dacho progimnazijos pradinių klasių mokinių vežiojimo į fizinio ugdymo pamokas užtikrinimas</t>
  </si>
  <si>
    <t>010-01-01-15</t>
  </si>
  <si>
    <t>Ugdymo proceso ir aplinkos užtikrinimas savivaldybės neformaliojo vaikų švietimo įstaigose</t>
  </si>
  <si>
    <t>Neformaliojo ugdymo įstaigų inventoriaus atnaujinimas</t>
  </si>
  <si>
    <t>010-01-01-16</t>
  </si>
  <si>
    <t>BĮ Klaipėdos pedagoginės psichologinės tarnybos veiklos užtikrinimas</t>
  </si>
  <si>
    <t xml:space="preserve">2.4.3.3.  
</t>
  </si>
  <si>
    <t>010-01-01-17</t>
  </si>
  <si>
    <t>Projekto „Integruota interaktyviųjų viešųjų sodų sistema Baltijos jūros regione „Interactive gardens“ įgyvendinimas</t>
  </si>
  <si>
    <t>010-01-01-18</t>
  </si>
  <si>
    <t>BĮ Klaipėdos regos ugdymo centro veiklos užtikrinimas</t>
  </si>
  <si>
    <t>010-01-01-19</t>
  </si>
  <si>
    <t>BĮ Klaipėdos miesto pedagogų švietimo ir kultūros centro veiklos užtikrinimas</t>
  </si>
  <si>
    <t>1.1.2.1.</t>
  </si>
  <si>
    <t>010-01-01-20</t>
  </si>
  <si>
    <t>Gamtos mokslų, technologijų, inžinerijos, matematikos mokslų ir kūrybiškumo ugdymo (STEAM) įgyvendinimas</t>
  </si>
  <si>
    <t>1.3.1.2.</t>
  </si>
  <si>
    <t>010-01-01-21</t>
  </si>
  <si>
    <t>Mokinių maitinimo ir pavežėjimo užtikrinimas Klaipėdos „Aukuro“ gimnazijoje (sporto klasėse)</t>
  </si>
  <si>
    <t>010-01-01-22</t>
  </si>
  <si>
    <t>Mokinių maitinimo ir pavėžėjimo užtikrinimas Klaipėdos jūrų kadetų mokykloje</t>
  </si>
  <si>
    <t>010-01-01-23</t>
  </si>
  <si>
    <t>Universitetinių klasių veiklos organizavimas (Baltijos, „Žemynos“, Vytauto Didžiojo ir „Vėtrungės“ gimnazijose)</t>
  </si>
  <si>
    <t>1.3.2.4.</t>
  </si>
  <si>
    <t>010-01-01-24</t>
  </si>
  <si>
    <t xml:space="preserve">Ugdymo prieinamumo ir ugdymo formų įvairovės užtikrinimas </t>
  </si>
  <si>
    <t>010-01-01-25</t>
  </si>
  <si>
    <t>Ugdymo prieinamumo užtikrinimas nevalstybinėse bendrojo ugdymo mokyklose besimokantiems mokiniams, atvykusiems į Lietuvos Respubliką iš Ukrainos dėl Rusijos Federacijos karinių veiksmų</t>
  </si>
  <si>
    <t>010-01-01-26</t>
  </si>
  <si>
    <t xml:space="preserve">I–II dalies valstybinių brandos egzaminų administravimas </t>
  </si>
  <si>
    <t>010-01-01-27</t>
  </si>
  <si>
    <t>Maitinimo paslaugų kompensavimas</t>
  </si>
  <si>
    <t>010-01-01-28</t>
  </si>
  <si>
    <t>Elektroninio mokinio pažymėjimo diegimas ir naudojimo užtikrinimas savivaldybės bendrojo ugdymo mokyklose</t>
  </si>
  <si>
    <t>010-01-01-29</t>
  </si>
  <si>
    <t>Pedagogų pritraukimas ir išlaikymas Klaipėdos biudžetinėse švietimo įstaigose</t>
  </si>
  <si>
    <t>ŠSD Švietimo skyriu, Biudžetinės švietimo įstaigos</t>
  </si>
  <si>
    <t>010-01-01-30</t>
  </si>
  <si>
    <t>Ikimokyklinių ugdymo įstaigų ir mokyklų-darželių  informacinių technologijų aptarnavimas</t>
  </si>
  <si>
    <t>AD Kibernetinio saugumo ir IT  skyrius</t>
  </si>
  <si>
    <t>„Dainų šventės „Kad giria žaliuotų“  dalyvių pavėžėjimo užtikrinimas“</t>
  </si>
  <si>
    <t xml:space="preserve">ŠSD Švietimo skyrius – priemonės vykdytojas, Planavimo ir analizės skyrius – programos sąmatų tvirtinimas </t>
  </si>
  <si>
    <t>Kiti šaltiniai (valstybės biudžeto lėšos)</t>
  </si>
  <si>
    <t>010-01-01-31</t>
  </si>
  <si>
    <t>Abiturientų, išlaikiusių valstybinius brandos egzaminus aukščiausiais įvertinimais, ir pedagogų skatinimas</t>
  </si>
  <si>
    <t>1.3.2.9.</t>
  </si>
  <si>
    <t>Lietuvos liaudiškų šokių kolektyvų, dalyvavusių festivalyje „Vaikystės glėby“, dalinis transporto išlaidų kompensavimas</t>
  </si>
  <si>
    <t>010-01-01-32</t>
  </si>
  <si>
    <t>Visos dienos mokyklos paslaugų prieinamumo didinimas</t>
  </si>
  <si>
    <t> </t>
  </si>
  <si>
    <t>010-01-01-33</t>
  </si>
  <si>
    <t>Projekto ,,Įtraukties švietime stiprinimas (PASTIPRA)“ įgyvendinimas Klaipėdos ,,Medeinės“ mokykloje</t>
  </si>
  <si>
    <t>Savivaldybės biudžetas (įskaitant skolintas lėšas)</t>
  </si>
  <si>
    <t>Iš jo:</t>
  </si>
  <si>
    <t>Savivaldybės biudžeto lėšos (nuosavos, be ankstesnių metų likučio)'</t>
  </si>
  <si>
    <t>Lietuvos Respublikos valstybės biudžeto dotacijos'</t>
  </si>
  <si>
    <t>Europos Sąjungos ir kitos tarptautinės finansinės paramos lėšos'</t>
  </si>
  <si>
    <t>Pajamų įmokos ir kitos pajamos'</t>
  </si>
  <si>
    <t>Ankstesnių metų likučiai'</t>
  </si>
  <si>
    <t>Kiti šaltiniai</t>
  </si>
  <si>
    <t>Iš jų:</t>
  </si>
  <si>
    <t>Kiti šaltiniai (valstybės biudžeto lėšos)'</t>
  </si>
  <si>
    <t>Kiti šaltiniai (Europos Sąjungos paramos lėšos)'</t>
  </si>
  <si>
    <t>010-01-02 (TP)</t>
  </si>
  <si>
    <t>Priemonė: Neformaliojo vaikų ir suaugusiųjų švietimo organizavimas</t>
  </si>
  <si>
    <t>010-01-02-01</t>
  </si>
  <si>
    <t xml:space="preserve">Ugdymo proceso užtikrinimas sporto mokyklose </t>
  </si>
  <si>
    <t>010-01-02-02</t>
  </si>
  <si>
    <t>Vasaros poilsio organizavimas</t>
  </si>
  <si>
    <t>2.4.3.2.</t>
  </si>
  <si>
    <t>010-01-02-03</t>
  </si>
  <si>
    <t>Neformaliojo vaikų švietimo programų įgyvendinimas ir neformaliojo vaikų švietimo paslaugų plėtra</t>
  </si>
  <si>
    <t>1.3.2.3.</t>
  </si>
  <si>
    <t>010-01-03 (TP)</t>
  </si>
  <si>
    <t>Priemonė: Savivaldybės administracijos vaiko gerovės komisijos veiklos užtikrinimas</t>
  </si>
  <si>
    <t>ŠSD Sveikatos ir šeimos skyrius</t>
  </si>
  <si>
    <t>010-01-04 (TP)</t>
  </si>
  <si>
    <t xml:space="preserve">Priemonė: Miesto metodinių būrelių veiklos užtikrinimas </t>
  </si>
  <si>
    <t>010-01-05 (TP)</t>
  </si>
  <si>
    <t>Priemonė: Priėmimo į savivaldybės bendrojo ir ikimokyklinio ugdymo įstaigas informacinių sistemų priežiūra</t>
  </si>
  <si>
    <t>010-01-06 (TP)</t>
  </si>
  <si>
    <t xml:space="preserve">Priemonė: Savivaldybės švietimo įstaigų civilinės atsakomybės draudimas </t>
  </si>
  <si>
    <t>010-01-07</t>
  </si>
  <si>
    <t>Priemonė: Švietimo pagalbos ir koordinuotai teikiamų paslaugų užtikrinimo projekto įgyvendinimas</t>
  </si>
  <si>
    <t>1.3.2.2</t>
  </si>
  <si>
    <t>010-01-08</t>
  </si>
  <si>
    <t>Priemonė: Kultūrinių kompetencijų ugdymo modelio moksleiviams įgyvendinimas</t>
  </si>
  <si>
    <t>010-01-09</t>
  </si>
  <si>
    <t>Priemonė: Klaipėdos miesto pradinių klasių mokytojų dalyvavimo Skaitmeninio raštingumo, informatikos ir technologinės kūrybos įgūdžių programoje „Vedliai“ užtikrinimas</t>
  </si>
  <si>
    <t>010-01-10</t>
  </si>
  <si>
    <t>Priemonė: Klaipėdos miesto mokinių politinio raštingumo tyrimas</t>
  </si>
  <si>
    <t>Jaunimo reikalų koordinatorius (patarėjas)</t>
  </si>
  <si>
    <t>010-02 (P)</t>
  </si>
  <si>
    <t>Uždavinys: Renovuoti ugdymo įstaigų pastatus ir patalpas</t>
  </si>
  <si>
    <t>010-02-01 (TP)</t>
  </si>
  <si>
    <t>Priemonė: Švietimo įstaigų modulinių kompleksų nuoma</t>
  </si>
  <si>
    <t>Turto valdymo skyrius</t>
  </si>
  <si>
    <t>010-02-02 (PP)</t>
  </si>
  <si>
    <t>Priemonė: Savivaldybės ugdymo įstaigų pastatų ir aplinkos modernizavimas bei plėtra</t>
  </si>
  <si>
    <t>Savivaldybės bendrojo ugdymo mokyklų pastatų ir aplinkos modernizavimas bei plėtra:</t>
  </si>
  <si>
    <t>Bendrojo ugdymo mokyklos pastato statyba šiaurinėje miesto dalyje</t>
  </si>
  <si>
    <t>MVPD Statybos skyrius</t>
  </si>
  <si>
    <t>1.3.1.1.</t>
  </si>
  <si>
    <t>010-02-02-01</t>
  </si>
  <si>
    <t>Švietimo įstaigų sklypų parinkimas ir teritorijų planavimo dokumentų parengimas šiaurinėje ir centrinėje miesto dalyse</t>
  </si>
  <si>
    <t>UAD Žemėtvarkos skyrius, Urbanistikos  skyrius</t>
  </si>
  <si>
    <t>010-02-02-02</t>
  </si>
  <si>
    <t>Sporto aikštynų atnaujinimas:</t>
  </si>
  <si>
    <t>2.2.1.2.</t>
  </si>
  <si>
    <t>010-02-02-02-01</t>
  </si>
  <si>
    <t>Aukuro gimnazijos sporto aikštyno atnaujinimas</t>
  </si>
  <si>
    <t>010-02-02-02-02</t>
  </si>
  <si>
    <t>Sendvario progimnazijos sporto aikštyno atnaujinimas</t>
  </si>
  <si>
    <t>010-02-02-02-03</t>
  </si>
  <si>
    <t>Baltijos gimnazijos sporto aikštyno atnaujinimas</t>
  </si>
  <si>
    <t>010-02-02-02-04</t>
  </si>
  <si>
    <t>Vydūno gimnazijos sporto aikštyno atnaujinimas</t>
  </si>
  <si>
    <t>010-02-02-02-05</t>
  </si>
  <si>
    <t>Varpo gimnazijos sporto aikštyno atnaujinimas</t>
  </si>
  <si>
    <t xml:space="preserve">Klaipėdos „Saulėtekio“ progimnazijos pastato inžinerinių sistemų, vidaus patalpų ir pastato išorės remontas </t>
  </si>
  <si>
    <t>ŠSD Švietimo skyrius – priemonės vykdytojas, Planavimo ir analizės skyrius –  programos sąmatų tvirtinimas</t>
  </si>
  <si>
    <t>010-02-02-03</t>
  </si>
  <si>
    <t xml:space="preserve">Klaipėdos „Ąžuolyno“ gimnazijos modernizavimas </t>
  </si>
  <si>
    <t>010-02-02-04</t>
  </si>
  <si>
    <t>Klaipėdos Hermano Zudermano gimnazijos pastato kapitalinis remontas</t>
  </si>
  <si>
    <t xml:space="preserve">Skolintos lėšos
</t>
  </si>
  <si>
    <t>010-02-02-05</t>
  </si>
  <si>
    <t>Vėdinimo ir kondicionavimo sistemų įrengimas biudžetinėse švietimo įstaigose</t>
  </si>
  <si>
    <t>010-02-02-06</t>
  </si>
  <si>
    <t>Mokyklų modernizavimo techninių projektų parengimas</t>
  </si>
  <si>
    <t>Vyturio progimnazija</t>
  </si>
  <si>
    <t>Versmės progimnazija</t>
  </si>
  <si>
    <t>Aukuro gimnazija</t>
  </si>
  <si>
    <t>Jūrų kadetų mokykla</t>
  </si>
  <si>
    <t>Simono Dacho progimnazija</t>
  </si>
  <si>
    <t>Gedminų progimnazija</t>
  </si>
  <si>
    <t>Varpelio mokykla-darželis</t>
  </si>
  <si>
    <t>Pajūrio progimnazija</t>
  </si>
  <si>
    <t>Gilijos pradinė mokykla</t>
  </si>
  <si>
    <t>Aitvaro ginnazija</t>
  </si>
  <si>
    <t>Žemynos gimnazija</t>
  </si>
  <si>
    <t>Gabijos progimnazija</t>
  </si>
  <si>
    <t>Modulinių patalpų, reikalingų vykdant mokyklų renovacijos ar remonto darbus, statyba</t>
  </si>
  <si>
    <t>Ikimokyklinio ugdymo įstaigų pastatų modernizavimas ir plėtra:</t>
  </si>
  <si>
    <t>010-02-02-07</t>
  </si>
  <si>
    <t>Ikimokyklinio ir priešmokyklinio ugdymo prieinamumo didinimas Klaipėdos mieste (lopšelio-darželio „Svirpliukas“ modernizavimas)</t>
  </si>
  <si>
    <t>Energinio efektyvumo didinimas ikimokyklinio ugdymo įstaigose:</t>
  </si>
  <si>
    <t>010-02-02-08</t>
  </si>
  <si>
    <t>Klaipėdos lopšelio-darželio „Vėtrungėlė“, lopšelio-darželio „Vėtrungėlė“ skyriaus, lopšelio-darželio „Radastėlė“, lopšelio-darželio „Radastėlė“ skyriaus, lopšelio-darželio „Šaltinėlis“ „Kregždutės“ skyriaus, lopšelio- darželio „Eglutė“ pastatų atnaujinimas</t>
  </si>
  <si>
    <t>l.-d. „Vėtrungėlė“</t>
  </si>
  <si>
    <t>l.-d. „Vėtrungėlė“ skyrius</t>
  </si>
  <si>
    <t xml:space="preserve">l.-d. „Radastėlė“ skyrius </t>
  </si>
  <si>
    <t xml:space="preserve">l.-d. „Radastėlė“ </t>
  </si>
  <si>
    <t>l.-d. „Šaltinėlis“ „Kregždutė“ skyrius</t>
  </si>
  <si>
    <t>l.-d. „Eglutė“</t>
  </si>
  <si>
    <t>Klaipėdos lopšelio-darželio „Žiogelis“ pastato Kauno g. 27 modernizavimas</t>
  </si>
  <si>
    <t xml:space="preserve">Projektų skyrius
</t>
  </si>
  <si>
    <t>010-02-02-09</t>
  </si>
  <si>
    <t>Švietimo ugdymo paslaugų plėtra Tauralaukyje  (Klaipėdos g. 31) – pastato rekonstravimas į ikimokyklinio ir priešmokyklinio ugdymo įstaigą</t>
  </si>
  <si>
    <t>010-02-02-10 (RP)</t>
  </si>
  <si>
    <t>Ugdymo paslaugų prieinamumo didinimas, modernizuojant Klaipėdos lopšelio-darželio „Traukinukas“ „Boružėlės“ skyriaus pastatą</t>
  </si>
  <si>
    <t>Ikimokyklinių įstaigų energetinių auditų atlikimas</t>
  </si>
  <si>
    <t>010-02-02-11</t>
  </si>
  <si>
    <t>Ikimokyklinių įstaigų plėtra:</t>
  </si>
  <si>
    <t>Naujo ikimokyklinio ugdymo įstaigos pastato statyba vietoje Tauralaukio progimnazijos Klaipėdos g. 31</t>
  </si>
  <si>
    <t xml:space="preserve">Vietų skaičiaus didinimas lopšelyje-darželyje „Atžalynas“ Panevėžio g. 3 </t>
  </si>
  <si>
    <t>Neformaliojo vaikų švietimo įstaigų pastatų rekonstravimas:</t>
  </si>
  <si>
    <t>010-02-02-12</t>
  </si>
  <si>
    <t>Klaipėdos Jeronimo Kačinsko muzikos mokyklos (Statybininkų pr. 5) pastato energinio efektyvumo didinimas</t>
  </si>
  <si>
    <t xml:space="preserve">010-02-02-13
</t>
  </si>
  <si>
    <t>Klaipėdos karalienės Luizės jaunimo centro įgalinimas teikti šiuolaikinius jaunimo poreikius atitinkančias paslaugas</t>
  </si>
  <si>
    <t xml:space="preserve">010-02-02-14
</t>
  </si>
  <si>
    <t>VšĮ Klaipėdos valstybinei kolegijai priklausančio nekilnojamojo turto įsigijimas, pritaikant jį savivaldybės vykdomoms švietimo funkcijoms</t>
  </si>
  <si>
    <t>Turto skyrius</t>
  </si>
  <si>
    <t>Skolintos lėšos'</t>
  </si>
  <si>
    <t xml:space="preserve">Kiti šaltiniai </t>
  </si>
  <si>
    <t>010-02-03 (TP)</t>
  </si>
  <si>
    <t>Priemonė: Mokymosi aplinkos pritaikymas švietimo reikmėms</t>
  </si>
  <si>
    <t>010-02-03-01</t>
  </si>
  <si>
    <t>Lauko žaidimų aikštelių ir įrenginių atnaujinimas ikimokyklinėse ugdymo įstaigose</t>
  </si>
  <si>
    <t>010-02-03-02</t>
  </si>
  <si>
    <t>Patalpų ir inventoriaus atnaujinimas užtikrinant atitiktį higienos normoms</t>
  </si>
  <si>
    <t>010-02-03-03</t>
  </si>
  <si>
    <t>Klaipėdos miesto gimnazijų gamtamokslinių laboratorijų steigimo ir modernizavimo 2022–2026 metų programos įgyvendinimas</t>
  </si>
  <si>
    <t>010-02-03-04</t>
  </si>
  <si>
    <t>Edukacinių erdvių ir pagalbinių patalpų įrengimas Klaipėdos miesto bendrojo ugdymo mokyklose (2024–2025 m. – Vytauto Didžiojo gimnazijoje, „Smeltės“ progimnazijoje)</t>
  </si>
  <si>
    <t>010-02-03-05</t>
  </si>
  <si>
    <t>Elektroninių cigarečių detektorių įrengimas bendrojo ugdymo mokyklose</t>
  </si>
  <si>
    <t>010-02-03-06</t>
  </si>
  <si>
    <t xml:space="preserve">Švietimo įtraukties ir veiksmingumo didinimas, aprūpinant mokyklas geltonaisiais autobusais </t>
  </si>
  <si>
    <t>010-02-03-07</t>
  </si>
  <si>
    <t>Vaizdo kamerų įrengimas</t>
  </si>
  <si>
    <t>010-02-04</t>
  </si>
  <si>
    <t>Priemonė: Įtraukiojo ugdymo strategijos įgyvendinimas</t>
  </si>
  <si>
    <t>010-02-04-01</t>
  </si>
  <si>
    <t>Specialiųjų ugdymosi priemonių („Kimochi“) įsijgijimas</t>
  </si>
  <si>
    <t>010-02-04-02</t>
  </si>
  <si>
    <t>Multisensorinių/nusiraminimo kambarių įrengimas, priemonių įsigijimas</t>
  </si>
  <si>
    <t>010-02-04-03</t>
  </si>
  <si>
    <t>Patalpų pritaikymas neįgalių vaikų ugdymui</t>
  </si>
  <si>
    <t>010-03 (T)</t>
  </si>
  <si>
    <t>Uždavinys: Aprūpinti švietimo įstaigas reikalingu inventoriumi</t>
  </si>
  <si>
    <t>010-03-01 (TP)</t>
  </si>
  <si>
    <t>Priemonė: Baldų ir įrangos atnaujinimas</t>
  </si>
  <si>
    <t>010-03-01-01</t>
  </si>
  <si>
    <t>Vaikiškų lovyčių įsigijimas savivaldybės ikimokyklinio ugdymo įstaigoms</t>
  </si>
  <si>
    <t>010-03-01-02</t>
  </si>
  <si>
    <t xml:space="preserve">Įrenginių įsigijimas švietimo įstaigų maisto blokams </t>
  </si>
  <si>
    <t>010-03-01-03</t>
  </si>
  <si>
    <t xml:space="preserve">Įrangos, baldų įsigijimas bendrojo ugdymo mokyklai šiaurinėje miesto dalyje                                                                         </t>
  </si>
  <si>
    <t>010-03-01-04</t>
  </si>
  <si>
    <t>Baldų, įrangos, metodinių priemonių ir specifikacijų įsigijimas ikimokyklinio ir priešmokyklinio ugdymo įstaigai (Tauralaukio rekonstruojamame pastate, adresu Klaipėdos g. 31)</t>
  </si>
  <si>
    <t>010-03-01-05</t>
  </si>
  <si>
    <t>Kompiuterių brandos egzaminams ir nacionaliniams mokinių pasiekimų patikrinimams organizuoti įsigijimas</t>
  </si>
  <si>
    <t>010-03-02 (TP)</t>
  </si>
  <si>
    <t>Priemonė: Švietimo paslaugų modernizavimo  programos priemonių įgyvendinimas</t>
  </si>
  <si>
    <t>010-03-02-01</t>
  </si>
  <si>
    <t>Ikimokyklinio ugdymo, neformaliojo vaikų švietimo ir švietimo pagalbos įstaigų aprūpinimas kompiuteriais</t>
  </si>
  <si>
    <t>ŠSD Švietimo skyrius – priemonės vykdytojas, Planavimo ir analizės skyrius – programos sąmatų tvirtinimas Biudžetinės švietimo įstaigos</t>
  </si>
  <si>
    <t>010-03-02-02</t>
  </si>
  <si>
    <t>Neformaliojo švietimo ir pagalbos įstaigų aprūpinimas mobilia interaktyvia įranga</t>
  </si>
  <si>
    <t>010-03-02-03</t>
  </si>
  <si>
    <t>Išmaniųjų klasių įrengimas</t>
  </si>
  <si>
    <t>010-03-02-04</t>
  </si>
  <si>
    <t>Hibridinių klasių įrengimas</t>
  </si>
  <si>
    <t>010-04 (T)</t>
  </si>
  <si>
    <t>Uždavinys: Organizuoti materialinį, ūkinį ir techninį ugdymo įstaigų aptarnavimą</t>
  </si>
  <si>
    <t>010-04-01 (TP)</t>
  </si>
  <si>
    <t>Priemonė: Ugdymo įstaigų ūkinio aptarnavimo organizavimas</t>
  </si>
  <si>
    <t>010-04-01-01</t>
  </si>
  <si>
    <t xml:space="preserve">Švietimo įstaigų paprastasis remontas </t>
  </si>
  <si>
    <t>ŠSD Švietimo skyrius - priemonės vykdytojas, Planavimo ir analizės skyrius –  programos sąmatų tvirtinimas</t>
  </si>
  <si>
    <t>010-04-01-02</t>
  </si>
  <si>
    <t>Šilumos ir karšto vandens tiekimo sistemų priežiūra</t>
  </si>
  <si>
    <t>010-04-01-03</t>
  </si>
  <si>
    <t>Šildymo sistemų, vandentiekio ir buitinių nuotekų tinklų remontas</t>
  </si>
  <si>
    <t>010-04-01-04</t>
  </si>
  <si>
    <t>Gaisrinės saugos reikalavimų vykdymas švietimo įstaigose</t>
  </si>
  <si>
    <t>010-04-01-05</t>
  </si>
  <si>
    <t>Švietimo įstaigų sanitarinių patalpų remontas</t>
  </si>
  <si>
    <t>010-04-01-06</t>
  </si>
  <si>
    <t xml:space="preserve">Švietimo įstaigų elektros instaliacijos remontas </t>
  </si>
  <si>
    <t>010-04-01-07</t>
  </si>
  <si>
    <t>Švietimo įstaigų pastatų išorės remontas</t>
  </si>
  <si>
    <t>010-04-01-08</t>
  </si>
  <si>
    <t xml:space="preserve">Švietimo įstaigų lauko inžinerinių tinklų remontas </t>
  </si>
  <si>
    <t>010-04-01-09</t>
  </si>
  <si>
    <t>Švietimo įstaigų teritorijų aptvėrimas</t>
  </si>
  <si>
    <t>010-04-01-10</t>
  </si>
  <si>
    <t>Įstaigų ūkinis aptarnavimas</t>
  </si>
  <si>
    <t>010-04-02 (TP)</t>
  </si>
  <si>
    <t xml:space="preserve">Priemonė: Mokinių pavėžėjimo užtikrinimas </t>
  </si>
  <si>
    <t>010-04-03 (TP)</t>
  </si>
  <si>
    <t>Priemonė: Švietimo įstaigų persikėlimo į kitas patalpas organizavimas</t>
  </si>
  <si>
    <t>010-04-04 (TP)</t>
  </si>
  <si>
    <t>Priemonė: Švietimo įstaigų energinių išteklių efektyvinimas</t>
  </si>
  <si>
    <t>010-04-04-01</t>
  </si>
  <si>
    <t>Automatizuotos šilumos punkto kontrolės ir valdymo sistemų aptarnavimas švietimo įstaigų pastatuose</t>
  </si>
  <si>
    <t>Atsinaujinančių energijos išteklių (saulės) elektrinių įrengimas ir priežiūra</t>
  </si>
  <si>
    <t>010-04-05 (TP)</t>
  </si>
  <si>
    <t>Priemonė: Komunalinių paslaugų įsigijimas</t>
  </si>
  <si>
    <t xml:space="preserve">IŠ VISO programai finansuoti pagal finansavimo šaltinius </t>
  </si>
  <si>
    <t>Iš jų: regioninių pažangos priemonių lėšos</t>
  </si>
  <si>
    <t>Asignavimų ir kitų lėšų pokytis, palyginti su ankstesnių metų patvirtintų asignavimų ir kitų lėšų planu</t>
  </si>
  <si>
    <t xml:space="preserve">T – tęstinės veiklos uždavinys. </t>
  </si>
  <si>
    <t>P – pažangos uždavinys.</t>
  </si>
  <si>
    <t>TP – tęstinės veiklos priemonė.</t>
  </si>
  <si>
    <t>PP – pažangos priemonė.</t>
  </si>
  <si>
    <t>RP – regioninė pažangos priemonė.</t>
  </si>
  <si>
    <t>2 lentelė.  2024 metų asignavimų ir kitų lėšų pasiskirstymas (tūkst. Eur)</t>
  </si>
  <si>
    <t>Eil. Nr.</t>
  </si>
  <si>
    <t>Programos kodas ir pavadinimas</t>
  </si>
  <si>
    <t>2024 m. asignavimai ir kitos lėšos</t>
  </si>
  <si>
    <t>010 Ugdymo proceso užtikrinimo programa</t>
  </si>
  <si>
    <t>1.</t>
  </si>
  <si>
    <r>
      <rPr>
        <sz val="10"/>
        <color rgb="FF000000"/>
        <rFont val="Times New Roman"/>
        <family val="1"/>
        <charset val="186"/>
      </rPr>
      <t xml:space="preserve">Iš jo:
</t>
    </r>
    <r>
      <rPr>
        <b/>
        <sz val="10"/>
        <color rgb="FF000000"/>
        <rFont val="Times New Roman"/>
        <family val="1"/>
        <charset val="186"/>
      </rPr>
      <t xml:space="preserve">
</t>
    </r>
  </si>
  <si>
    <t>1.1.</t>
  </si>
  <si>
    <r>
      <rPr>
        <sz val="10"/>
        <color rgb="FF000000"/>
        <rFont val="Times New Roman"/>
        <family val="1"/>
        <charset val="186"/>
      </rPr>
      <t xml:space="preserve">savivaldybės biudžeto lėšos (nuosavos, be ankstesnių metų likučio)
</t>
    </r>
    <r>
      <rPr>
        <b/>
        <sz val="10"/>
        <color rgb="FF000000"/>
        <rFont val="Times New Roman"/>
        <family val="1"/>
        <charset val="186"/>
      </rPr>
      <t xml:space="preserve">
</t>
    </r>
  </si>
  <si>
    <t>1.2.</t>
  </si>
  <si>
    <t>1.3.</t>
  </si>
  <si>
    <t xml:space="preserve">pajamų įmokos ir kitos pajamos
</t>
  </si>
  <si>
    <t>1.4.</t>
  </si>
  <si>
    <t>1.5.</t>
  </si>
  <si>
    <t>skolintos lėšos</t>
  </si>
  <si>
    <t>1.6.</t>
  </si>
  <si>
    <t>ankstesnių metų likučiai</t>
  </si>
  <si>
    <t>2.</t>
  </si>
  <si>
    <t xml:space="preserve">Kiti šaltiniai (Europos Sąjungos finansinė parama projektams įgyvendinti ir kitos teisėtai gautos lėšos, nurodant atskirus šaltinius)
</t>
  </si>
  <si>
    <t>2.1.</t>
  </si>
  <si>
    <t>Europos Sąjungos paramos lėšos</t>
  </si>
  <si>
    <t>2.2.</t>
  </si>
  <si>
    <t>Privalomojo sveikatos draudimo fondo lėšos</t>
  </si>
  <si>
    <t>2.3.</t>
  </si>
  <si>
    <t>Klaipėdos valstybinio jūrų uosto direkcijos lėšos (KVJUD)</t>
  </si>
  <si>
    <t>2.4.</t>
  </si>
  <si>
    <t>Valstybės biudžeto lėšos (LRVB)</t>
  </si>
  <si>
    <t>2.5.</t>
  </si>
  <si>
    <t>Kiti finansavimo šaltiniai</t>
  </si>
  <si>
    <t>2.6.</t>
  </si>
  <si>
    <t>Kelių priežiūros ir plėtros programos lėšos (KPP)</t>
  </si>
  <si>
    <r>
      <rPr>
        <b/>
        <sz val="10"/>
        <color theme="1"/>
        <rFont val="Times New Roman"/>
        <family val="1"/>
        <charset val="186"/>
      </rPr>
      <t>IŠ VISO</t>
    </r>
    <r>
      <rPr>
        <sz val="10"/>
        <color theme="1"/>
        <rFont val="Times New Roman"/>
        <family val="1"/>
        <charset val="186"/>
      </rPr>
      <t xml:space="preserve"> programai finansuoti pagal finansavimo šaltinius </t>
    </r>
    <r>
      <rPr>
        <i/>
        <sz val="10"/>
        <color theme="1"/>
        <rFont val="Times New Roman"/>
        <family val="1"/>
        <charset val="186"/>
      </rPr>
      <t>(1 ir 2 punktai)</t>
    </r>
  </si>
  <si>
    <r>
      <rPr>
        <sz val="10"/>
        <rFont val="Times New Roman"/>
        <family val="1"/>
        <charset val="186"/>
      </rPr>
      <t>ŠSD Švietimo skyrius, Biudžetinės švietimo įstaigos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</si>
</sst>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[$-409]General"/>
    <numFmt numFmtId="166" formatCode="0.0"/>
  </numFmts>
  <fonts count="23" x14ac:knownFonts="1"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rgb="FF000000"/>
      <name val="Calibri"/>
      <family val="2"/>
      <charset val="186"/>
    </font>
    <font>
      <b/>
      <sz val="1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0"/>
      <color theme="0"/>
      <name val="Times New Roman"/>
      <family val="1"/>
      <charset val="186"/>
    </font>
    <font>
      <sz val="10"/>
      <name val="Calibri"/>
      <family val="2"/>
      <charset val="186"/>
    </font>
    <font>
      <sz val="12"/>
      <name val="Times New Roman"/>
      <family val="1"/>
      <charset val="186"/>
    </font>
    <font>
      <strike/>
      <sz val="10"/>
      <name val="Times New Roman"/>
      <family val="1"/>
    </font>
    <font>
      <b/>
      <sz val="10"/>
      <name val="Times New Roman"/>
      <family val="1"/>
      <charset val="1"/>
    </font>
  </fonts>
  <fills count="11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CC"/>
        <bgColor rgb="FF000000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</borders>
  <cellStyleXfs count="2">
    <xf numFmtId="0" fontId="0" fillId="0" borderId="0"/>
    <xf numFmtId="165" fontId="2" fillId="0" borderId="0" applyBorder="0" applyProtection="0"/>
  </cellStyleXfs>
  <cellXfs count="458">
    <xf numFmtId="0" fontId="0" fillId="0" borderId="0" xfId="0"/>
    <xf numFmtId="0" fontId="1" fillId="0" borderId="0" xfId="0" applyFont="1" applyAlignment="1">
      <alignment vertical="top"/>
    </xf>
    <xf numFmtId="164" fontId="5" fillId="3" borderId="1" xfId="0" applyNumberFormat="1" applyFont="1" applyFill="1" applyBorder="1" applyAlignment="1">
      <alignment horizontal="center" vertical="top"/>
    </xf>
    <xf numFmtId="164" fontId="3" fillId="0" borderId="1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top" wrapText="1"/>
    </xf>
    <xf numFmtId="0" fontId="3" fillId="8" borderId="1" xfId="0" applyFont="1" applyFill="1" applyBorder="1" applyAlignment="1">
      <alignment vertical="top" wrapText="1"/>
    </xf>
    <xf numFmtId="164" fontId="3" fillId="8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164" fontId="3" fillId="5" borderId="1" xfId="0" applyNumberFormat="1" applyFont="1" applyFill="1" applyBorder="1" applyAlignment="1">
      <alignment horizontal="center" vertical="top"/>
    </xf>
    <xf numFmtId="164" fontId="3" fillId="8" borderId="1" xfId="0" applyNumberFormat="1" applyFont="1" applyFill="1" applyBorder="1" applyAlignment="1">
      <alignment horizontal="center" vertical="top"/>
    </xf>
    <xf numFmtId="164" fontId="3" fillId="3" borderId="1" xfId="0" applyNumberFormat="1" applyFont="1" applyFill="1" applyBorder="1" applyAlignment="1">
      <alignment horizontal="center" vertical="top"/>
    </xf>
    <xf numFmtId="0" fontId="1" fillId="0" borderId="0" xfId="0" applyFont="1"/>
    <xf numFmtId="0" fontId="3" fillId="3" borderId="1" xfId="0" applyFont="1" applyFill="1" applyBorder="1" applyAlignment="1">
      <alignment vertical="top" wrapText="1"/>
    </xf>
    <xf numFmtId="0" fontId="3" fillId="8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164" fontId="5" fillId="6" borderId="1" xfId="1" applyNumberFormat="1" applyFont="1" applyFill="1" applyBorder="1" applyAlignment="1">
      <alignment horizontal="center" vertical="top"/>
    </xf>
    <xf numFmtId="49" fontId="3" fillId="8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wrapText="1"/>
    </xf>
    <xf numFmtId="164" fontId="3" fillId="6" borderId="1" xfId="1" applyNumberFormat="1" applyFont="1" applyFill="1" applyBorder="1" applyAlignment="1">
      <alignment horizontal="center" vertical="top"/>
    </xf>
    <xf numFmtId="0" fontId="3" fillId="8" borderId="4" xfId="0" applyFont="1" applyFill="1" applyBorder="1" applyAlignment="1">
      <alignment horizontal="left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49" fontId="3" fillId="7" borderId="1" xfId="0" applyNumberFormat="1" applyFont="1" applyFill="1" applyBorder="1" applyAlignment="1">
      <alignment horizontal="center" vertical="top" wrapText="1"/>
    </xf>
    <xf numFmtId="164" fontId="3" fillId="5" borderId="4" xfId="0" applyNumberFormat="1" applyFont="1" applyFill="1" applyBorder="1" applyAlignment="1">
      <alignment horizontal="center" vertical="top"/>
    </xf>
    <xf numFmtId="164" fontId="5" fillId="5" borderId="4" xfId="0" applyNumberFormat="1" applyFont="1" applyFill="1" applyBorder="1" applyAlignment="1">
      <alignment horizontal="center" vertical="top"/>
    </xf>
    <xf numFmtId="49" fontId="5" fillId="8" borderId="4" xfId="0" applyNumberFormat="1" applyFont="1" applyFill="1" applyBorder="1" applyAlignment="1">
      <alignment horizontal="center" vertical="top" wrapText="1"/>
    </xf>
    <xf numFmtId="164" fontId="3" fillId="8" borderId="4" xfId="0" applyNumberFormat="1" applyFont="1" applyFill="1" applyBorder="1" applyAlignment="1">
      <alignment horizontal="center" vertical="top"/>
    </xf>
    <xf numFmtId="49" fontId="3" fillId="0" borderId="4" xfId="0" applyNumberFormat="1" applyFont="1" applyBorder="1" applyAlignment="1">
      <alignment horizontal="center" vertical="top" wrapText="1"/>
    </xf>
    <xf numFmtId="49" fontId="3" fillId="8" borderId="4" xfId="0" applyNumberFormat="1" applyFont="1" applyFill="1" applyBorder="1" applyAlignment="1">
      <alignment horizontal="center" vertical="top" wrapText="1"/>
    </xf>
    <xf numFmtId="49" fontId="3" fillId="7" borderId="4" xfId="0" applyNumberFormat="1" applyFont="1" applyFill="1" applyBorder="1" applyAlignment="1">
      <alignment horizontal="center" vertical="top" wrapText="1"/>
    </xf>
    <xf numFmtId="164" fontId="3" fillId="7" borderId="4" xfId="0" applyNumberFormat="1" applyFont="1" applyFill="1" applyBorder="1" applyAlignment="1">
      <alignment horizontal="center" vertical="top"/>
    </xf>
    <xf numFmtId="49" fontId="3" fillId="3" borderId="4" xfId="0" applyNumberFormat="1" applyFont="1" applyFill="1" applyBorder="1" applyAlignment="1">
      <alignment horizontal="center" vertical="top" wrapText="1"/>
    </xf>
    <xf numFmtId="164" fontId="3" fillId="3" borderId="4" xfId="0" applyNumberFormat="1" applyFont="1" applyFill="1" applyBorder="1" applyAlignment="1">
      <alignment horizontal="center" vertical="top"/>
    </xf>
    <xf numFmtId="49" fontId="5" fillId="7" borderId="4" xfId="0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vertical="top" wrapText="1"/>
    </xf>
    <xf numFmtId="0" fontId="3" fillId="7" borderId="1" xfId="0" applyFont="1" applyFill="1" applyBorder="1" applyAlignment="1">
      <alignment vertical="top" wrapText="1"/>
    </xf>
    <xf numFmtId="0" fontId="5" fillId="7" borderId="1" xfId="0" applyFont="1" applyFill="1" applyBorder="1" applyAlignment="1">
      <alignment horizontal="center" vertical="top" wrapText="1"/>
    </xf>
    <xf numFmtId="164" fontId="3" fillId="7" borderId="1" xfId="0" applyNumberFormat="1" applyFont="1" applyFill="1" applyBorder="1" applyAlignment="1">
      <alignment horizontal="center" vertical="top" wrapText="1"/>
    </xf>
    <xf numFmtId="164" fontId="5" fillId="7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49" fontId="3" fillId="0" borderId="12" xfId="0" applyNumberFormat="1" applyFont="1" applyBorder="1" applyAlignment="1">
      <alignment horizontal="center" vertical="top" wrapText="1"/>
    </xf>
    <xf numFmtId="164" fontId="3" fillId="6" borderId="2" xfId="1" applyNumberFormat="1" applyFont="1" applyFill="1" applyBorder="1" applyAlignment="1">
      <alignment horizontal="center" vertical="top"/>
    </xf>
    <xf numFmtId="164" fontId="11" fillId="7" borderId="1" xfId="0" applyNumberFormat="1" applyFont="1" applyFill="1" applyBorder="1" applyAlignment="1">
      <alignment horizontal="center" vertical="top"/>
    </xf>
    <xf numFmtId="164" fontId="12" fillId="5" borderId="8" xfId="0" applyNumberFormat="1" applyFont="1" applyFill="1" applyBorder="1" applyAlignment="1">
      <alignment horizontal="center" vertical="top"/>
    </xf>
    <xf numFmtId="164" fontId="5" fillId="3" borderId="4" xfId="0" applyNumberFormat="1" applyFont="1" applyFill="1" applyBorder="1" applyAlignment="1">
      <alignment horizontal="center" vertical="top"/>
    </xf>
    <xf numFmtId="164" fontId="5" fillId="3" borderId="1" xfId="1" applyNumberFormat="1" applyFont="1" applyFill="1" applyBorder="1" applyAlignment="1">
      <alignment horizontal="center" vertical="top"/>
    </xf>
    <xf numFmtId="0" fontId="5" fillId="3" borderId="1" xfId="0" applyFont="1" applyFill="1" applyBorder="1" applyAlignment="1">
      <alignment vertical="top" wrapText="1"/>
    </xf>
    <xf numFmtId="4" fontId="1" fillId="0" borderId="0" xfId="0" applyNumberFormat="1" applyFont="1"/>
    <xf numFmtId="164" fontId="3" fillId="4" borderId="1" xfId="0" applyNumberFormat="1" applyFont="1" applyFill="1" applyBorder="1" applyAlignment="1">
      <alignment vertical="top" wrapText="1"/>
    </xf>
    <xf numFmtId="164" fontId="12" fillId="3" borderId="4" xfId="0" applyNumberFormat="1" applyFont="1" applyFill="1" applyBorder="1" applyAlignment="1">
      <alignment horizontal="center" vertical="top"/>
    </xf>
    <xf numFmtId="3" fontId="3" fillId="3" borderId="1" xfId="0" applyNumberFormat="1" applyFont="1" applyFill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0" fontId="5" fillId="3" borderId="3" xfId="0" applyFont="1" applyFill="1" applyBorder="1" applyAlignment="1">
      <alignment vertical="top" wrapText="1"/>
    </xf>
    <xf numFmtId="164" fontId="3" fillId="3" borderId="1" xfId="0" applyNumberFormat="1" applyFont="1" applyFill="1" applyBorder="1" applyAlignment="1">
      <alignment horizontal="center" vertical="top" wrapText="1"/>
    </xf>
    <xf numFmtId="0" fontId="11" fillId="0" borderId="6" xfId="0" applyFont="1" applyBorder="1" applyAlignment="1">
      <alignment vertical="top" wrapText="1"/>
    </xf>
    <xf numFmtId="164" fontId="5" fillId="0" borderId="1" xfId="0" applyNumberFormat="1" applyFont="1" applyBorder="1" applyAlignment="1">
      <alignment horizontal="center" vertical="top" wrapText="1"/>
    </xf>
    <xf numFmtId="164" fontId="11" fillId="3" borderId="1" xfId="0" applyNumberFormat="1" applyFont="1" applyFill="1" applyBorder="1" applyAlignment="1">
      <alignment horizontal="center" vertical="top" wrapText="1"/>
    </xf>
    <xf numFmtId="164" fontId="12" fillId="3" borderId="1" xfId="0" applyNumberFormat="1" applyFont="1" applyFill="1" applyBorder="1" applyAlignment="1">
      <alignment horizontal="center" vertical="top" wrapText="1"/>
    </xf>
    <xf numFmtId="164" fontId="11" fillId="3" borderId="2" xfId="0" applyNumberFormat="1" applyFont="1" applyFill="1" applyBorder="1" applyAlignment="1">
      <alignment horizontal="center" vertical="top" wrapText="1"/>
    </xf>
    <xf numFmtId="164" fontId="12" fillId="3" borderId="8" xfId="0" applyNumberFormat="1" applyFont="1" applyFill="1" applyBorder="1" applyAlignment="1">
      <alignment horizontal="center" vertical="top" wrapText="1"/>
    </xf>
    <xf numFmtId="164" fontId="11" fillId="3" borderId="4" xfId="0" applyNumberFormat="1" applyFont="1" applyFill="1" applyBorder="1" applyAlignment="1">
      <alignment horizontal="center" vertical="top" wrapText="1"/>
    </xf>
    <xf numFmtId="164" fontId="11" fillId="0" borderId="1" xfId="0" applyNumberFormat="1" applyFont="1" applyBorder="1" applyAlignment="1">
      <alignment horizontal="center" vertical="top" wrapText="1"/>
    </xf>
    <xf numFmtId="164" fontId="12" fillId="0" borderId="1" xfId="0" applyNumberFormat="1" applyFont="1" applyBorder="1" applyAlignment="1">
      <alignment horizontal="center" vertical="top" wrapText="1"/>
    </xf>
    <xf numFmtId="0" fontId="5" fillId="9" borderId="1" xfId="0" applyFont="1" applyFill="1" applyBorder="1" applyAlignment="1">
      <alignment horizontal="center" vertical="top" wrapText="1"/>
    </xf>
    <xf numFmtId="0" fontId="17" fillId="0" borderId="0" xfId="0" applyFont="1"/>
    <xf numFmtId="0" fontId="5" fillId="0" borderId="1" xfId="0" applyFont="1" applyBorder="1" applyAlignment="1">
      <alignment vertical="top" wrapText="1"/>
    </xf>
    <xf numFmtId="164" fontId="3" fillId="0" borderId="1" xfId="0" applyNumberFormat="1" applyFont="1" applyBorder="1" applyAlignment="1">
      <alignment vertical="top" wrapText="1"/>
    </xf>
    <xf numFmtId="164" fontId="17" fillId="0" borderId="0" xfId="0" applyNumberFormat="1" applyFont="1"/>
    <xf numFmtId="0" fontId="17" fillId="3" borderId="0" xfId="0" applyFont="1" applyFill="1"/>
    <xf numFmtId="0" fontId="3" fillId="0" borderId="1" xfId="0" applyFont="1" applyBorder="1" applyAlignment="1">
      <alignment horizontal="left" vertical="top" wrapText="1"/>
    </xf>
    <xf numFmtId="164" fontId="3" fillId="0" borderId="2" xfId="0" applyNumberFormat="1" applyFont="1" applyBorder="1" applyAlignment="1">
      <alignment horizontal="center" vertical="top" wrapText="1"/>
    </xf>
    <xf numFmtId="164" fontId="3" fillId="0" borderId="8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top" wrapText="1"/>
    </xf>
    <xf numFmtId="0" fontId="5" fillId="9" borderId="1" xfId="0" applyFont="1" applyFill="1" applyBorder="1" applyAlignment="1">
      <alignment vertical="top" wrapText="1"/>
    </xf>
    <xf numFmtId="0" fontId="17" fillId="0" borderId="0" xfId="0" applyFont="1" applyAlignment="1">
      <alignment vertical="top"/>
    </xf>
    <xf numFmtId="164" fontId="5" fillId="9" borderId="11" xfId="0" applyNumberFormat="1" applyFont="1" applyFill="1" applyBorder="1" applyAlignment="1">
      <alignment horizontal="center" vertical="top" wrapText="1"/>
    </xf>
    <xf numFmtId="0" fontId="3" fillId="7" borderId="1" xfId="0" applyFont="1" applyFill="1" applyBorder="1" applyAlignment="1">
      <alignment horizontal="justify" vertical="top" wrapText="1"/>
    </xf>
    <xf numFmtId="164" fontId="5" fillId="7" borderId="1" xfId="0" applyNumberFormat="1" applyFont="1" applyFill="1" applyBorder="1" applyAlignment="1">
      <alignment horizontal="center" vertical="top"/>
    </xf>
    <xf numFmtId="0" fontId="11" fillId="3" borderId="2" xfId="0" applyFont="1" applyFill="1" applyBorder="1" applyAlignment="1">
      <alignment vertical="top" wrapText="1"/>
    </xf>
    <xf numFmtId="0" fontId="5" fillId="3" borderId="4" xfId="0" applyFont="1" applyFill="1" applyBorder="1" applyAlignment="1">
      <alignment vertical="top" wrapText="1"/>
    </xf>
    <xf numFmtId="0" fontId="5" fillId="8" borderId="1" xfId="0" applyFont="1" applyFill="1" applyBorder="1" applyAlignment="1">
      <alignment vertical="top" wrapText="1"/>
    </xf>
    <xf numFmtId="0" fontId="5" fillId="8" borderId="1" xfId="0" applyFont="1" applyFill="1" applyBorder="1" applyAlignment="1">
      <alignment horizontal="center" vertical="top" wrapText="1"/>
    </xf>
    <xf numFmtId="0" fontId="5" fillId="8" borderId="1" xfId="0" applyFont="1" applyFill="1" applyBorder="1" applyAlignment="1">
      <alignment horizontal="justify" vertical="top" wrapText="1"/>
    </xf>
    <xf numFmtId="164" fontId="3" fillId="8" borderId="1" xfId="0" applyNumberFormat="1" applyFont="1" applyFill="1" applyBorder="1" applyAlignment="1">
      <alignment vertical="top" wrapText="1"/>
    </xf>
    <xf numFmtId="0" fontId="5" fillId="3" borderId="1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3" fillId="8" borderId="4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left" vertical="top" wrapText="1"/>
    </xf>
    <xf numFmtId="164" fontId="5" fillId="9" borderId="1" xfId="0" applyNumberFormat="1" applyFont="1" applyFill="1" applyBorder="1" applyAlignment="1">
      <alignment horizontal="center" vertical="top" wrapText="1"/>
    </xf>
    <xf numFmtId="164" fontId="5" fillId="8" borderId="1" xfId="0" applyNumberFormat="1" applyFont="1" applyFill="1" applyBorder="1" applyAlignment="1">
      <alignment horizontal="left" vertical="top" wrapText="1"/>
    </xf>
    <xf numFmtId="164" fontId="3" fillId="7" borderId="1" xfId="0" applyNumberFormat="1" applyFont="1" applyFill="1" applyBorder="1" applyAlignment="1">
      <alignment vertical="top" wrapText="1"/>
    </xf>
    <xf numFmtId="164" fontId="3" fillId="5" borderId="8" xfId="0" applyNumberFormat="1" applyFont="1" applyFill="1" applyBorder="1" applyAlignment="1">
      <alignment horizontal="center" vertical="top"/>
    </xf>
    <xf numFmtId="0" fontId="3" fillId="4" borderId="12" xfId="0" applyFont="1" applyFill="1" applyBorder="1" applyAlignment="1">
      <alignment vertical="top" wrapText="1"/>
    </xf>
    <xf numFmtId="164" fontId="3" fillId="7" borderId="4" xfId="0" applyNumberFormat="1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vertical="top" wrapText="1"/>
    </xf>
    <xf numFmtId="164" fontId="3" fillId="0" borderId="3" xfId="0" applyNumberFormat="1" applyFont="1" applyBorder="1" applyAlignment="1">
      <alignment vertical="top" wrapText="1"/>
    </xf>
    <xf numFmtId="0" fontId="5" fillId="3" borderId="5" xfId="0" applyFont="1" applyFill="1" applyBorder="1" applyAlignment="1">
      <alignment vertical="top" wrapText="1"/>
    </xf>
    <xf numFmtId="164" fontId="3" fillId="0" borderId="4" xfId="0" applyNumberFormat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164" fontId="12" fillId="0" borderId="4" xfId="0" applyNumberFormat="1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164" fontId="11" fillId="3" borderId="4" xfId="0" applyNumberFormat="1" applyFont="1" applyFill="1" applyBorder="1" applyAlignment="1">
      <alignment horizontal="center" vertical="top"/>
    </xf>
    <xf numFmtId="164" fontId="3" fillId="8" borderId="4" xfId="0" applyNumberFormat="1" applyFont="1" applyFill="1" applyBorder="1" applyAlignment="1">
      <alignment horizontal="left" vertical="top" wrapText="1"/>
    </xf>
    <xf numFmtId="164" fontId="3" fillId="8" borderId="4" xfId="0" applyNumberFormat="1" applyFont="1" applyFill="1" applyBorder="1" applyAlignment="1">
      <alignment vertical="top" wrapText="1"/>
    </xf>
    <xf numFmtId="164" fontId="3" fillId="7" borderId="4" xfId="0" applyNumberFormat="1" applyFont="1" applyFill="1" applyBorder="1" applyAlignment="1">
      <alignment vertical="top" wrapText="1"/>
    </xf>
    <xf numFmtId="164" fontId="3" fillId="3" borderId="3" xfId="0" applyNumberFormat="1" applyFont="1" applyFill="1" applyBorder="1" applyAlignment="1">
      <alignment vertical="top" wrapText="1"/>
    </xf>
    <xf numFmtId="164" fontId="3" fillId="3" borderId="4" xfId="0" applyNumberFormat="1" applyFont="1" applyFill="1" applyBorder="1" applyAlignment="1">
      <alignment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3" fillId="8" borderId="4" xfId="0" applyFont="1" applyFill="1" applyBorder="1" applyAlignment="1">
      <alignment vertical="top" wrapText="1"/>
    </xf>
    <xf numFmtId="0" fontId="5" fillId="0" borderId="0" xfId="0" applyFont="1" applyAlignment="1">
      <alignment horizontal="justify" vertical="top" wrapText="1"/>
    </xf>
    <xf numFmtId="0" fontId="5" fillId="0" borderId="0" xfId="0" applyFont="1"/>
    <xf numFmtId="0" fontId="17" fillId="0" borderId="0" xfId="0" applyFont="1" applyAlignment="1">
      <alignment horizontal="center" vertical="top"/>
    </xf>
    <xf numFmtId="164" fontId="17" fillId="0" borderId="0" xfId="0" applyNumberFormat="1" applyFont="1" applyAlignment="1">
      <alignment horizontal="center" vertical="top"/>
    </xf>
    <xf numFmtId="164" fontId="3" fillId="0" borderId="2" xfId="0" applyNumberFormat="1" applyFont="1" applyBorder="1" applyAlignment="1">
      <alignment vertical="top" wrapText="1"/>
    </xf>
    <xf numFmtId="164" fontId="3" fillId="4" borderId="15" xfId="0" applyNumberFormat="1" applyFont="1" applyFill="1" applyBorder="1" applyAlignment="1">
      <alignment vertical="top" wrapText="1"/>
    </xf>
    <xf numFmtId="164" fontId="12" fillId="5" borderId="16" xfId="0" applyNumberFormat="1" applyFont="1" applyFill="1" applyBorder="1" applyAlignment="1">
      <alignment horizontal="center" vertical="top"/>
    </xf>
    <xf numFmtId="164" fontId="7" fillId="3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164" fontId="1" fillId="3" borderId="1" xfId="0" applyNumberFormat="1" applyFont="1" applyFill="1" applyBorder="1" applyAlignment="1">
      <alignment horizontal="center" vertical="top" wrapText="1"/>
    </xf>
    <xf numFmtId="164" fontId="4" fillId="3" borderId="1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2" fillId="3" borderId="4" xfId="0" applyFont="1" applyFill="1" applyBorder="1" applyAlignment="1">
      <alignment horizontal="center" vertical="top"/>
    </xf>
    <xf numFmtId="0" fontId="12" fillId="3" borderId="18" xfId="0" applyFont="1" applyFill="1" applyBorder="1" applyAlignment="1">
      <alignment horizontal="center" vertical="top"/>
    </xf>
    <xf numFmtId="0" fontId="11" fillId="3" borderId="4" xfId="0" applyFont="1" applyFill="1" applyBorder="1" applyAlignment="1">
      <alignment horizontal="center" vertical="top"/>
    </xf>
    <xf numFmtId="0" fontId="11" fillId="3" borderId="18" xfId="0" applyFont="1" applyFill="1" applyBorder="1" applyAlignment="1">
      <alignment horizontal="center" vertical="top"/>
    </xf>
    <xf numFmtId="0" fontId="3" fillId="3" borderId="18" xfId="0" applyFont="1" applyFill="1" applyBorder="1" applyAlignment="1">
      <alignment horizontal="center" vertical="top"/>
    </xf>
    <xf numFmtId="0" fontId="5" fillId="3" borderId="4" xfId="0" applyFont="1" applyFill="1" applyBorder="1" applyAlignment="1">
      <alignment horizontal="center" vertical="top"/>
    </xf>
    <xf numFmtId="0" fontId="5" fillId="3" borderId="18" xfId="0" applyFont="1" applyFill="1" applyBorder="1" applyAlignment="1">
      <alignment horizontal="center" vertical="top"/>
    </xf>
    <xf numFmtId="0" fontId="5" fillId="3" borderId="3" xfId="0" applyFont="1" applyFill="1" applyBorder="1" applyAlignment="1">
      <alignment horizontal="center" vertical="top"/>
    </xf>
    <xf numFmtId="0" fontId="5" fillId="3" borderId="11" xfId="0" applyFont="1" applyFill="1" applyBorder="1" applyAlignment="1">
      <alignment horizontal="center" vertical="top"/>
    </xf>
    <xf numFmtId="0" fontId="5" fillId="3" borderId="17" xfId="0" applyFont="1" applyFill="1" applyBorder="1" applyAlignment="1">
      <alignment horizontal="center" vertical="top"/>
    </xf>
    <xf numFmtId="166" fontId="5" fillId="3" borderId="4" xfId="0" applyNumberFormat="1" applyFont="1" applyFill="1" applyBorder="1" applyAlignment="1">
      <alignment horizontal="center" vertical="top"/>
    </xf>
    <xf numFmtId="166" fontId="5" fillId="3" borderId="18" xfId="0" applyNumberFormat="1" applyFont="1" applyFill="1" applyBorder="1" applyAlignment="1">
      <alignment horizontal="center" vertical="top"/>
    </xf>
    <xf numFmtId="166" fontId="11" fillId="3" borderId="18" xfId="0" applyNumberFormat="1" applyFont="1" applyFill="1" applyBorder="1" applyAlignment="1">
      <alignment horizontal="center" vertical="top"/>
    </xf>
    <xf numFmtId="166" fontId="3" fillId="3" borderId="18" xfId="0" applyNumberFormat="1" applyFont="1" applyFill="1" applyBorder="1" applyAlignment="1">
      <alignment horizontal="center" vertical="top"/>
    </xf>
    <xf numFmtId="166" fontId="5" fillId="3" borderId="1" xfId="0" applyNumberFormat="1" applyFont="1" applyFill="1" applyBorder="1" applyAlignment="1">
      <alignment horizontal="center" vertical="top"/>
    </xf>
    <xf numFmtId="166" fontId="5" fillId="3" borderId="6" xfId="0" applyNumberFormat="1" applyFont="1" applyFill="1" applyBorder="1" applyAlignment="1">
      <alignment horizontal="center" vertical="top"/>
    </xf>
    <xf numFmtId="164" fontId="3" fillId="5" borderId="4" xfId="0" applyNumberFormat="1" applyFont="1" applyFill="1" applyBorder="1" applyAlignment="1">
      <alignment vertical="top" wrapText="1"/>
    </xf>
    <xf numFmtId="166" fontId="5" fillId="9" borderId="1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vertical="top" wrapText="1"/>
    </xf>
    <xf numFmtId="164" fontId="3" fillId="3" borderId="2" xfId="0" applyNumberFormat="1" applyFont="1" applyFill="1" applyBorder="1" applyAlignment="1">
      <alignment horizontal="center" vertical="top" wrapText="1"/>
    </xf>
    <xf numFmtId="164" fontId="3" fillId="3" borderId="4" xfId="0" applyNumberFormat="1" applyFont="1" applyFill="1" applyBorder="1" applyAlignment="1">
      <alignment horizontal="center" vertical="top" wrapText="1"/>
    </xf>
    <xf numFmtId="166" fontId="5" fillId="3" borderId="2" xfId="0" applyNumberFormat="1" applyFont="1" applyFill="1" applyBorder="1" applyAlignment="1">
      <alignment horizontal="center" vertical="top"/>
    </xf>
    <xf numFmtId="164" fontId="12" fillId="0" borderId="1" xfId="0" applyNumberFormat="1" applyFont="1" applyBorder="1" applyAlignment="1">
      <alignment vertical="top" wrapText="1"/>
    </xf>
    <xf numFmtId="0" fontId="12" fillId="8" borderId="1" xfId="0" applyFont="1" applyFill="1" applyBorder="1" applyAlignment="1">
      <alignment vertical="top" wrapText="1"/>
    </xf>
    <xf numFmtId="164" fontId="12" fillId="8" borderId="1" xfId="0" applyNumberFormat="1" applyFont="1" applyFill="1" applyBorder="1" applyAlignment="1">
      <alignment horizontal="center" vertical="top" wrapText="1"/>
    </xf>
    <xf numFmtId="0" fontId="12" fillId="0" borderId="12" xfId="0" applyFont="1" applyBorder="1" applyAlignment="1">
      <alignment vertical="top" wrapText="1"/>
    </xf>
    <xf numFmtId="164" fontId="12" fillId="0" borderId="6" xfId="0" applyNumberFormat="1" applyFont="1" applyBorder="1" applyAlignment="1">
      <alignment vertical="top" wrapText="1"/>
    </xf>
    <xf numFmtId="164" fontId="12" fillId="0" borderId="6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11" fillId="8" borderId="1" xfId="0" applyFont="1" applyFill="1" applyBorder="1" applyAlignment="1">
      <alignment vertical="top" wrapText="1"/>
    </xf>
    <xf numFmtId="0" fontId="11" fillId="8" borderId="1" xfId="0" applyFont="1" applyFill="1" applyBorder="1" applyAlignment="1">
      <alignment horizontal="center" vertical="top" wrapText="1"/>
    </xf>
    <xf numFmtId="164" fontId="12" fillId="7" borderId="8" xfId="0" applyNumberFormat="1" applyFont="1" applyFill="1" applyBorder="1" applyAlignment="1">
      <alignment vertical="top" wrapText="1"/>
    </xf>
    <xf numFmtId="0" fontId="11" fillId="8" borderId="8" xfId="0" applyFont="1" applyFill="1" applyBorder="1" applyAlignment="1">
      <alignment vertical="top" wrapText="1"/>
    </xf>
    <xf numFmtId="0" fontId="12" fillId="8" borderId="8" xfId="0" applyFont="1" applyFill="1" applyBorder="1" applyAlignment="1">
      <alignment vertical="top" wrapText="1"/>
    </xf>
    <xf numFmtId="0" fontId="11" fillId="8" borderId="8" xfId="0" applyFont="1" applyFill="1" applyBorder="1" applyAlignment="1">
      <alignment horizontal="center" vertical="top" wrapText="1"/>
    </xf>
    <xf numFmtId="164" fontId="12" fillId="8" borderId="8" xfId="0" applyNumberFormat="1" applyFont="1" applyFill="1" applyBorder="1" applyAlignment="1">
      <alignment horizontal="center" vertical="top" wrapText="1"/>
    </xf>
    <xf numFmtId="0" fontId="12" fillId="0" borderId="8" xfId="0" applyFont="1" applyBorder="1" applyAlignment="1">
      <alignment vertical="top" wrapText="1"/>
    </xf>
    <xf numFmtId="164" fontId="12" fillId="0" borderId="8" xfId="0" applyNumberFormat="1" applyFont="1" applyBorder="1" applyAlignment="1">
      <alignment vertical="top" wrapText="1"/>
    </xf>
    <xf numFmtId="164" fontId="12" fillId="0" borderId="8" xfId="0" applyNumberFormat="1" applyFont="1" applyBorder="1" applyAlignment="1">
      <alignment horizontal="center" vertical="top" wrapText="1"/>
    </xf>
    <xf numFmtId="164" fontId="12" fillId="7" borderId="4" xfId="0" applyNumberFormat="1" applyFont="1" applyFill="1" applyBorder="1" applyAlignment="1">
      <alignment horizontal="center" vertical="top" wrapText="1"/>
    </xf>
    <xf numFmtId="164" fontId="12" fillId="7" borderId="4" xfId="0" applyNumberFormat="1" applyFont="1" applyFill="1" applyBorder="1" applyAlignment="1">
      <alignment vertical="top" wrapText="1"/>
    </xf>
    <xf numFmtId="0" fontId="11" fillId="0" borderId="8" xfId="0" applyFont="1" applyBorder="1" applyAlignment="1">
      <alignment vertical="top" wrapText="1"/>
    </xf>
    <xf numFmtId="0" fontId="11" fillId="0" borderId="8" xfId="0" applyFont="1" applyBorder="1" applyAlignment="1">
      <alignment horizontal="justify" vertical="top" wrapText="1"/>
    </xf>
    <xf numFmtId="0" fontId="19" fillId="0" borderId="0" xfId="0" applyFont="1"/>
    <xf numFmtId="164" fontId="5" fillId="9" borderId="8" xfId="0" applyNumberFormat="1" applyFont="1" applyFill="1" applyBorder="1" applyAlignment="1">
      <alignment horizontal="center" vertical="top" wrapText="1"/>
    </xf>
    <xf numFmtId="164" fontId="3" fillId="8" borderId="4" xfId="0" applyNumberFormat="1" applyFont="1" applyFill="1" applyBorder="1" applyAlignment="1">
      <alignment horizontal="center" vertical="top" wrapText="1"/>
    </xf>
    <xf numFmtId="0" fontId="12" fillId="0" borderId="13" xfId="0" applyFont="1" applyBorder="1" applyAlignment="1">
      <alignment vertical="top" wrapText="1"/>
    </xf>
    <xf numFmtId="164" fontId="12" fillId="0" borderId="17" xfId="0" applyNumberFormat="1" applyFont="1" applyBorder="1" applyAlignment="1">
      <alignment horizontal="center" vertical="top" wrapText="1"/>
    </xf>
    <xf numFmtId="164" fontId="12" fillId="0" borderId="2" xfId="0" applyNumberFormat="1" applyFont="1" applyBorder="1" applyAlignment="1">
      <alignment vertical="top" wrapText="1"/>
    </xf>
    <xf numFmtId="0" fontId="3" fillId="4" borderId="4" xfId="0" applyFont="1" applyFill="1" applyBorder="1" applyAlignment="1">
      <alignment horizontal="left" vertical="top" wrapText="1"/>
    </xf>
    <xf numFmtId="0" fontId="3" fillId="4" borderId="4" xfId="0" applyFont="1" applyFill="1" applyBorder="1" applyAlignment="1">
      <alignment vertical="top" wrapText="1"/>
    </xf>
    <xf numFmtId="0" fontId="3" fillId="4" borderId="4" xfId="0" applyFont="1" applyFill="1" applyBorder="1" applyAlignment="1">
      <alignment vertical="top"/>
    </xf>
    <xf numFmtId="164" fontId="3" fillId="4" borderId="4" xfId="0" applyNumberFormat="1" applyFont="1" applyFill="1" applyBorder="1" applyAlignment="1">
      <alignment vertical="top"/>
    </xf>
    <xf numFmtId="164" fontId="12" fillId="7" borderId="8" xfId="0" applyNumberFormat="1" applyFont="1" applyFill="1" applyBorder="1" applyAlignment="1">
      <alignment horizontal="center" vertical="top" wrapText="1"/>
    </xf>
    <xf numFmtId="0" fontId="11" fillId="8" borderId="16" xfId="0" applyFont="1" applyFill="1" applyBorder="1" applyAlignment="1">
      <alignment horizontal="justify" vertical="top" wrapText="1"/>
    </xf>
    <xf numFmtId="0" fontId="12" fillId="8" borderId="2" xfId="0" applyFont="1" applyFill="1" applyBorder="1" applyAlignment="1">
      <alignment vertical="top" wrapText="1"/>
    </xf>
    <xf numFmtId="164" fontId="12" fillId="8" borderId="16" xfId="0" applyNumberFormat="1" applyFont="1" applyFill="1" applyBorder="1" applyAlignment="1">
      <alignment horizontal="center" vertical="top" wrapText="1"/>
    </xf>
    <xf numFmtId="164" fontId="12" fillId="8" borderId="16" xfId="0" applyNumberFormat="1" applyFont="1" applyFill="1" applyBorder="1" applyAlignment="1">
      <alignment vertical="top" wrapText="1"/>
    </xf>
    <xf numFmtId="0" fontId="3" fillId="3" borderId="6" xfId="0" applyFont="1" applyFill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3" fillId="3" borderId="2" xfId="0" applyFont="1" applyFill="1" applyBorder="1" applyAlignment="1">
      <alignment horizontal="justify" vertical="top" wrapText="1"/>
    </xf>
    <xf numFmtId="0" fontId="5" fillId="0" borderId="8" xfId="0" applyFont="1" applyBorder="1" applyAlignment="1">
      <alignment vertical="top" wrapText="1"/>
    </xf>
    <xf numFmtId="49" fontId="3" fillId="8" borderId="8" xfId="0" applyNumberFormat="1" applyFont="1" applyFill="1" applyBorder="1" applyAlignment="1">
      <alignment horizontal="center" vertical="top" wrapText="1"/>
    </xf>
    <xf numFmtId="0" fontId="3" fillId="8" borderId="14" xfId="0" applyFont="1" applyFill="1" applyBorder="1" applyAlignment="1">
      <alignment vertical="top" wrapText="1"/>
    </xf>
    <xf numFmtId="164" fontId="3" fillId="8" borderId="18" xfId="0" applyNumberFormat="1" applyFont="1" applyFill="1" applyBorder="1" applyAlignment="1">
      <alignment horizontal="center" vertical="top"/>
    </xf>
    <xf numFmtId="164" fontId="5" fillId="5" borderId="18" xfId="0" applyNumberFormat="1" applyFont="1" applyFill="1" applyBorder="1" applyAlignment="1">
      <alignment horizontal="center" vertical="top"/>
    </xf>
    <xf numFmtId="164" fontId="5" fillId="5" borderId="8" xfId="0" applyNumberFormat="1" applyFont="1" applyFill="1" applyBorder="1" applyAlignment="1">
      <alignment horizontal="center" vertical="top"/>
    </xf>
    <xf numFmtId="164" fontId="5" fillId="5" borderId="3" xfId="0" applyNumberFormat="1" applyFont="1" applyFill="1" applyBorder="1" applyAlignment="1">
      <alignment horizontal="center" vertical="top"/>
    </xf>
    <xf numFmtId="0" fontId="5" fillId="7" borderId="15" xfId="0" applyFont="1" applyFill="1" applyBorder="1" applyAlignment="1">
      <alignment vertical="top" wrapText="1"/>
    </xf>
    <xf numFmtId="164" fontId="3" fillId="7" borderId="20" xfId="0" applyNumberFormat="1" applyFont="1" applyFill="1" applyBorder="1" applyAlignment="1">
      <alignment horizontal="center" vertical="top" wrapText="1"/>
    </xf>
    <xf numFmtId="164" fontId="3" fillId="9" borderId="2" xfId="0" applyNumberFormat="1" applyFont="1" applyFill="1" applyBorder="1" applyAlignment="1">
      <alignment horizontal="center" vertical="top" wrapText="1"/>
    </xf>
    <xf numFmtId="164" fontId="12" fillId="9" borderId="2" xfId="0" applyNumberFormat="1" applyFont="1" applyFill="1" applyBorder="1" applyAlignment="1">
      <alignment horizontal="center" vertical="top" wrapText="1"/>
    </xf>
    <xf numFmtId="0" fontId="3" fillId="0" borderId="8" xfId="0" applyFont="1" applyBorder="1" applyAlignment="1">
      <alignment vertical="top" wrapText="1"/>
    </xf>
    <xf numFmtId="0" fontId="11" fillId="8" borderId="3" xfId="0" applyFont="1" applyFill="1" applyBorder="1" applyAlignment="1">
      <alignment vertical="top" wrapText="1"/>
    </xf>
    <xf numFmtId="0" fontId="12" fillId="8" borderId="3" xfId="0" applyFont="1" applyFill="1" applyBorder="1" applyAlignment="1">
      <alignment vertical="top" wrapText="1"/>
    </xf>
    <xf numFmtId="164" fontId="1" fillId="0" borderId="0" xfId="0" applyNumberFormat="1" applyFont="1"/>
    <xf numFmtId="0" fontId="12" fillId="0" borderId="0" xfId="0" applyFont="1" applyAlignment="1">
      <alignment vertical="top" wrapText="1"/>
    </xf>
    <xf numFmtId="0" fontId="3" fillId="0" borderId="8" xfId="0" applyFont="1" applyBorder="1" applyAlignment="1">
      <alignment horizontal="center" vertical="top" wrapText="1"/>
    </xf>
    <xf numFmtId="164" fontId="3" fillId="3" borderId="8" xfId="0" applyNumberFormat="1" applyFont="1" applyFill="1" applyBorder="1" applyAlignment="1">
      <alignment horizontal="center" vertical="top" wrapText="1"/>
    </xf>
    <xf numFmtId="164" fontId="3" fillId="0" borderId="8" xfId="0" applyNumberFormat="1" applyFont="1" applyBorder="1" applyAlignment="1">
      <alignment vertical="top" wrapText="1"/>
    </xf>
    <xf numFmtId="0" fontId="3" fillId="0" borderId="17" xfId="0" applyFont="1" applyBorder="1" applyAlignment="1">
      <alignment vertical="top" wrapText="1"/>
    </xf>
    <xf numFmtId="0" fontId="3" fillId="0" borderId="20" xfId="0" applyFont="1" applyBorder="1" applyAlignment="1">
      <alignment vertical="top" wrapText="1"/>
    </xf>
    <xf numFmtId="0" fontId="12" fillId="3" borderId="20" xfId="0" applyFont="1" applyFill="1" applyBorder="1" applyAlignment="1">
      <alignment horizontal="left" vertical="top" wrapText="1"/>
    </xf>
    <xf numFmtId="0" fontId="5" fillId="8" borderId="2" xfId="0" applyFont="1" applyFill="1" applyBorder="1" applyAlignment="1">
      <alignment vertical="top" wrapText="1"/>
    </xf>
    <xf numFmtId="0" fontId="12" fillId="8" borderId="0" xfId="0" applyFont="1" applyFill="1" applyAlignment="1">
      <alignment vertical="top"/>
    </xf>
    <xf numFmtId="0" fontId="12" fillId="9" borderId="12" xfId="0" applyFont="1" applyFill="1" applyBorder="1" applyAlignment="1">
      <alignment vertical="top" wrapText="1"/>
    </xf>
    <xf numFmtId="0" fontId="12" fillId="9" borderId="4" xfId="0" applyFont="1" applyFill="1" applyBorder="1" applyAlignment="1">
      <alignment vertical="top"/>
    </xf>
    <xf numFmtId="0" fontId="5" fillId="0" borderId="19" xfId="0" applyFont="1" applyBorder="1" applyAlignment="1">
      <alignment vertical="top" wrapText="1"/>
    </xf>
    <xf numFmtId="49" fontId="5" fillId="0" borderId="3" xfId="0" applyNumberFormat="1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1" fillId="0" borderId="8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/>
    </xf>
    <xf numFmtId="164" fontId="1" fillId="0" borderId="2" xfId="0" applyNumberFormat="1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164" fontId="1" fillId="0" borderId="8" xfId="0" applyNumberFormat="1" applyFont="1" applyBorder="1" applyAlignment="1">
      <alignment horizontal="center" vertical="top"/>
    </xf>
    <xf numFmtId="164" fontId="3" fillId="8" borderId="12" xfId="0" applyNumberFormat="1" applyFont="1" applyFill="1" applyBorder="1" applyAlignment="1">
      <alignment horizontal="center" vertical="top" wrapText="1"/>
    </xf>
    <xf numFmtId="164" fontId="5" fillId="3" borderId="18" xfId="0" applyNumberFormat="1" applyFont="1" applyFill="1" applyBorder="1" applyAlignment="1">
      <alignment wrapText="1"/>
    </xf>
    <xf numFmtId="166" fontId="5" fillId="3" borderId="18" xfId="0" applyNumberFormat="1" applyFont="1" applyFill="1" applyBorder="1" applyAlignment="1">
      <alignment wrapText="1"/>
    </xf>
    <xf numFmtId="0" fontId="5" fillId="3" borderId="18" xfId="0" applyFont="1" applyFill="1" applyBorder="1" applyAlignment="1">
      <alignment wrapText="1"/>
    </xf>
    <xf numFmtId="0" fontId="3" fillId="3" borderId="18" xfId="0" applyFont="1" applyFill="1" applyBorder="1" applyAlignment="1">
      <alignment wrapText="1"/>
    </xf>
    <xf numFmtId="164" fontId="5" fillId="3" borderId="18" xfId="0" applyNumberFormat="1" applyFont="1" applyFill="1" applyBorder="1" applyAlignment="1">
      <alignment horizontal="center" vertical="top" wrapText="1"/>
    </xf>
    <xf numFmtId="166" fontId="5" fillId="3" borderId="18" xfId="0" applyNumberFormat="1" applyFont="1" applyFill="1" applyBorder="1" applyAlignment="1">
      <alignment horizontal="center" vertical="top" wrapText="1"/>
    </xf>
    <xf numFmtId="0" fontId="11" fillId="3" borderId="17" xfId="0" applyFont="1" applyFill="1" applyBorder="1" applyAlignment="1">
      <alignment wrapText="1"/>
    </xf>
    <xf numFmtId="164" fontId="5" fillId="3" borderId="11" xfId="0" applyNumberFormat="1" applyFont="1" applyFill="1" applyBorder="1" applyAlignment="1">
      <alignment wrapText="1"/>
    </xf>
    <xf numFmtId="0" fontId="5" fillId="3" borderId="11" xfId="0" applyFont="1" applyFill="1" applyBorder="1" applyAlignment="1">
      <alignment horizontal="center" vertical="top" wrapText="1"/>
    </xf>
    <xf numFmtId="164" fontId="5" fillId="3" borderId="8" xfId="0" applyNumberFormat="1" applyFont="1" applyFill="1" applyBorder="1" applyAlignment="1">
      <alignment wrapText="1"/>
    </xf>
    <xf numFmtId="0" fontId="5" fillId="3" borderId="8" xfId="0" applyFont="1" applyFill="1" applyBorder="1" applyAlignment="1">
      <alignment horizontal="center" vertical="top" wrapText="1"/>
    </xf>
    <xf numFmtId="164" fontId="5" fillId="3" borderId="8" xfId="0" applyNumberFormat="1" applyFont="1" applyFill="1" applyBorder="1" applyAlignment="1">
      <alignment horizontal="center" vertical="top" wrapText="1"/>
    </xf>
    <xf numFmtId="0" fontId="5" fillId="3" borderId="25" xfId="0" applyFont="1" applyFill="1" applyBorder="1" applyAlignment="1">
      <alignment vertical="top" wrapText="1"/>
    </xf>
    <xf numFmtId="49" fontId="5" fillId="0" borderId="7" xfId="0" applyNumberFormat="1" applyFont="1" applyBorder="1" applyAlignment="1">
      <alignment vertical="top" wrapText="1"/>
    </xf>
    <xf numFmtId="164" fontId="5" fillId="3" borderId="25" xfId="0" applyNumberFormat="1" applyFont="1" applyFill="1" applyBorder="1" applyAlignment="1">
      <alignment horizontal="center" vertical="top" wrapText="1"/>
    </xf>
    <xf numFmtId="164" fontId="3" fillId="3" borderId="25" xfId="0" applyNumberFormat="1" applyFont="1" applyFill="1" applyBorder="1" applyAlignment="1">
      <alignment horizontal="center" vertical="top" wrapText="1"/>
    </xf>
    <xf numFmtId="164" fontId="5" fillId="8" borderId="4" xfId="0" applyNumberFormat="1" applyFont="1" applyFill="1" applyBorder="1" applyAlignment="1">
      <alignment horizontal="left" vertical="top" wrapText="1"/>
    </xf>
    <xf numFmtId="49" fontId="11" fillId="0" borderId="10" xfId="0" applyNumberFormat="1" applyFont="1" applyBorder="1" applyAlignment="1">
      <alignment horizontal="center" vertical="top" wrapText="1"/>
    </xf>
    <xf numFmtId="164" fontId="5" fillId="3" borderId="12" xfId="0" applyNumberFormat="1" applyFont="1" applyFill="1" applyBorder="1" applyAlignment="1">
      <alignment horizontal="center" vertical="top" wrapText="1"/>
    </xf>
    <xf numFmtId="164" fontId="3" fillId="8" borderId="19" xfId="0" applyNumberFormat="1" applyFont="1" applyFill="1" applyBorder="1" applyAlignment="1">
      <alignment horizontal="center" vertical="top" wrapText="1"/>
    </xf>
    <xf numFmtId="4" fontId="3" fillId="3" borderId="4" xfId="0" applyNumberFormat="1" applyFont="1" applyFill="1" applyBorder="1" applyAlignment="1">
      <alignment horizontal="center" vertical="top"/>
    </xf>
    <xf numFmtId="4" fontId="3" fillId="3" borderId="18" xfId="0" applyNumberFormat="1" applyFont="1" applyFill="1" applyBorder="1" applyAlignment="1">
      <alignment horizontal="center" vertical="top"/>
    </xf>
    <xf numFmtId="0" fontId="5" fillId="0" borderId="4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7" borderId="12" xfId="0" applyFont="1" applyFill="1" applyBorder="1" applyAlignment="1">
      <alignment vertical="top" wrapText="1"/>
    </xf>
    <xf numFmtId="164" fontId="3" fillId="7" borderId="18" xfId="0" applyNumberFormat="1" applyFont="1" applyFill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top"/>
    </xf>
    <xf numFmtId="0" fontId="5" fillId="0" borderId="29" xfId="0" applyFont="1" applyBorder="1" applyAlignment="1">
      <alignment horizontal="justify" vertical="top" wrapText="1"/>
    </xf>
    <xf numFmtId="0" fontId="3" fillId="0" borderId="30" xfId="0" applyFont="1" applyBorder="1" applyAlignment="1">
      <alignment vertical="top" wrapText="1"/>
    </xf>
    <xf numFmtId="0" fontId="3" fillId="0" borderId="30" xfId="0" applyFont="1" applyBorder="1" applyAlignment="1">
      <alignment horizontal="center" vertical="top" wrapText="1"/>
    </xf>
    <xf numFmtId="164" fontId="3" fillId="3" borderId="30" xfId="0" applyNumberFormat="1" applyFont="1" applyFill="1" applyBorder="1" applyAlignment="1">
      <alignment horizontal="center" vertical="top" wrapText="1"/>
    </xf>
    <xf numFmtId="164" fontId="3" fillId="0" borderId="31" xfId="0" applyNumberFormat="1" applyFont="1" applyBorder="1" applyAlignment="1">
      <alignment horizontal="center" vertical="top" wrapText="1"/>
    </xf>
    <xf numFmtId="0" fontId="5" fillId="8" borderId="32" xfId="0" applyFont="1" applyFill="1" applyBorder="1" applyAlignment="1">
      <alignment horizontal="justify" vertical="top" wrapText="1"/>
    </xf>
    <xf numFmtId="0" fontId="3" fillId="8" borderId="10" xfId="0" applyFont="1" applyFill="1" applyBorder="1" applyAlignment="1">
      <alignment vertical="top" wrapText="1"/>
    </xf>
    <xf numFmtId="0" fontId="5" fillId="8" borderId="10" xfId="0" applyFont="1" applyFill="1" applyBorder="1" applyAlignment="1">
      <alignment horizontal="center" vertical="top" wrapText="1"/>
    </xf>
    <xf numFmtId="164" fontId="3" fillId="8" borderId="10" xfId="0" applyNumberFormat="1" applyFont="1" applyFill="1" applyBorder="1" applyAlignment="1">
      <alignment horizontal="center" vertical="top" wrapText="1"/>
    </xf>
    <xf numFmtId="164" fontId="3" fillId="8" borderId="33" xfId="0" applyNumberFormat="1" applyFont="1" applyFill="1" applyBorder="1" applyAlignment="1">
      <alignment horizontal="center" vertical="top" wrapText="1"/>
    </xf>
    <xf numFmtId="0" fontId="5" fillId="0" borderId="19" xfId="0" applyFont="1" applyBorder="1" applyAlignment="1">
      <alignment horizontal="justify" vertical="top" wrapText="1"/>
    </xf>
    <xf numFmtId="0" fontId="3" fillId="0" borderId="19" xfId="0" applyFont="1" applyBorder="1" applyAlignment="1">
      <alignment vertical="top" wrapText="1"/>
    </xf>
    <xf numFmtId="0" fontId="3" fillId="0" borderId="19" xfId="0" applyFont="1" applyBorder="1" applyAlignment="1">
      <alignment horizontal="center" vertical="top" wrapText="1"/>
    </xf>
    <xf numFmtId="164" fontId="3" fillId="0" borderId="19" xfId="0" applyNumberFormat="1" applyFont="1" applyBorder="1" applyAlignment="1">
      <alignment horizontal="center" vertical="top" wrapText="1"/>
    </xf>
    <xf numFmtId="166" fontId="5" fillId="3" borderId="30" xfId="0" applyNumberFormat="1" applyFont="1" applyFill="1" applyBorder="1" applyAlignment="1">
      <alignment horizontal="center" vertical="top" wrapText="1"/>
    </xf>
    <xf numFmtId="164" fontId="3" fillId="3" borderId="31" xfId="0" applyNumberFormat="1" applyFont="1" applyFill="1" applyBorder="1" applyAlignment="1">
      <alignment horizontal="center" vertical="top" wrapText="1"/>
    </xf>
    <xf numFmtId="166" fontId="5" fillId="3" borderId="4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166" fontId="5" fillId="3" borderId="7" xfId="0" applyNumberFormat="1" applyFont="1" applyFill="1" applyBorder="1" applyAlignment="1">
      <alignment horizontal="center" vertical="top" wrapText="1"/>
    </xf>
    <xf numFmtId="164" fontId="3" fillId="3" borderId="35" xfId="0" applyNumberFormat="1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vertical="top" wrapText="1"/>
    </xf>
    <xf numFmtId="0" fontId="5" fillId="3" borderId="2" xfId="0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left" vertical="top" wrapText="1"/>
    </xf>
    <xf numFmtId="0" fontId="5" fillId="3" borderId="3" xfId="0" applyFont="1" applyFill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3" borderId="4" xfId="0" applyFont="1" applyFill="1" applyBorder="1" applyAlignment="1">
      <alignment horizontal="left" vertical="top" wrapText="1"/>
    </xf>
    <xf numFmtId="0" fontId="5" fillId="3" borderId="7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164" fontId="5" fillId="0" borderId="3" xfId="0" applyNumberFormat="1" applyFont="1" applyBorder="1" applyAlignment="1">
      <alignment horizontal="left" vertical="top" wrapText="1"/>
    </xf>
    <xf numFmtId="164" fontId="5" fillId="3" borderId="4" xfId="0" applyNumberFormat="1" applyFont="1" applyFill="1" applyBorder="1" applyAlignment="1">
      <alignment horizontal="left" vertical="top" wrapText="1"/>
    </xf>
    <xf numFmtId="164" fontId="3" fillId="3" borderId="4" xfId="0" applyNumberFormat="1" applyFont="1" applyFill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justify" vertical="top" wrapText="1"/>
    </xf>
    <xf numFmtId="0" fontId="11" fillId="0" borderId="2" xfId="0" applyFont="1" applyBorder="1" applyAlignment="1">
      <alignment horizontal="justify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justify" vertical="top" wrapText="1"/>
    </xf>
    <xf numFmtId="0" fontId="5" fillId="0" borderId="16" xfId="0" applyFont="1" applyBorder="1" applyAlignment="1">
      <alignment horizontal="center" vertical="top" wrapText="1"/>
    </xf>
    <xf numFmtId="0" fontId="5" fillId="0" borderId="19" xfId="0" applyFont="1" applyBorder="1" applyAlignment="1">
      <alignment horizontal="center"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5" fillId="3" borderId="8" xfId="0" applyFont="1" applyFill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1" fillId="3" borderId="2" xfId="0" applyFont="1" applyFill="1" applyBorder="1" applyAlignment="1">
      <alignment horizontal="center" vertical="top" wrapText="1"/>
    </xf>
    <xf numFmtId="0" fontId="11" fillId="3" borderId="3" xfId="0" applyFont="1" applyFill="1" applyBorder="1" applyAlignment="1">
      <alignment horizontal="center" vertical="top" wrapText="1"/>
    </xf>
    <xf numFmtId="0" fontId="11" fillId="3" borderId="4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5" fillId="3" borderId="0" xfId="0" applyFont="1" applyFill="1" applyAlignment="1">
      <alignment horizontal="left" vertical="top" wrapText="1"/>
    </xf>
    <xf numFmtId="164" fontId="5" fillId="3" borderId="2" xfId="0" applyNumberFormat="1" applyFont="1" applyFill="1" applyBorder="1" applyAlignment="1">
      <alignment horizontal="left" vertical="top" wrapText="1"/>
    </xf>
    <xf numFmtId="164" fontId="5" fillId="3" borderId="3" xfId="0" applyNumberFormat="1" applyFont="1" applyFill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164" fontId="3" fillId="3" borderId="2" xfId="0" applyNumberFormat="1" applyFont="1" applyFill="1" applyBorder="1" applyAlignment="1">
      <alignment horizontal="left" vertical="top" wrapText="1"/>
    </xf>
    <xf numFmtId="164" fontId="3" fillId="3" borderId="4" xfId="0" applyNumberFormat="1" applyFont="1" applyFill="1" applyBorder="1" applyAlignment="1">
      <alignment horizontal="left" vertical="top" wrapText="1"/>
    </xf>
    <xf numFmtId="164" fontId="5" fillId="0" borderId="2" xfId="0" applyNumberFormat="1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left" vertical="top" wrapText="1"/>
    </xf>
    <xf numFmtId="164" fontId="5" fillId="0" borderId="3" xfId="0" applyNumberFormat="1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vertical="top" wrapText="1"/>
    </xf>
    <xf numFmtId="0" fontId="11" fillId="0" borderId="8" xfId="0" applyFont="1" applyBorder="1" applyAlignment="1">
      <alignment horizontal="center" vertical="top" wrapText="1"/>
    </xf>
    <xf numFmtId="164" fontId="3" fillId="3" borderId="3" xfId="0" applyNumberFormat="1" applyFont="1" applyFill="1" applyBorder="1" applyAlignment="1">
      <alignment horizontal="left" vertical="top" wrapText="1"/>
    </xf>
    <xf numFmtId="0" fontId="11" fillId="3" borderId="2" xfId="0" applyFont="1" applyFill="1" applyBorder="1" applyAlignment="1">
      <alignment horizontal="left" vertical="top" wrapText="1"/>
    </xf>
    <xf numFmtId="0" fontId="11" fillId="3" borderId="3" xfId="0" applyFont="1" applyFill="1" applyBorder="1" applyAlignment="1">
      <alignment horizontal="left" vertical="top" wrapText="1"/>
    </xf>
    <xf numFmtId="0" fontId="11" fillId="3" borderId="4" xfId="0" applyFont="1" applyFill="1" applyBorder="1" applyAlignment="1">
      <alignment horizontal="left" vertical="top" wrapText="1"/>
    </xf>
    <xf numFmtId="49" fontId="5" fillId="3" borderId="2" xfId="0" applyNumberFormat="1" applyFont="1" applyFill="1" applyBorder="1" applyAlignment="1">
      <alignment horizontal="center" vertical="top" wrapText="1"/>
    </xf>
    <xf numFmtId="49" fontId="5" fillId="3" borderId="3" xfId="0" applyNumberFormat="1" applyFont="1" applyFill="1" applyBorder="1" applyAlignment="1">
      <alignment horizontal="center" vertical="top" wrapText="1"/>
    </xf>
    <xf numFmtId="164" fontId="5" fillId="3" borderId="4" xfId="0" applyNumberFormat="1" applyFont="1" applyFill="1" applyBorder="1" applyAlignment="1">
      <alignment horizontal="left" vertical="top" wrapText="1"/>
    </xf>
    <xf numFmtId="164" fontId="3" fillId="0" borderId="2" xfId="0" applyNumberFormat="1" applyFont="1" applyBorder="1" applyAlignment="1">
      <alignment horizontal="left" vertical="top" wrapText="1"/>
    </xf>
    <xf numFmtId="164" fontId="3" fillId="0" borderId="3" xfId="0" applyNumberFormat="1" applyFont="1" applyBorder="1" applyAlignment="1">
      <alignment horizontal="left" vertical="top" wrapText="1"/>
    </xf>
    <xf numFmtId="164" fontId="3" fillId="0" borderId="4" xfId="0" applyNumberFormat="1" applyFont="1" applyBorder="1" applyAlignment="1">
      <alignment horizontal="left" vertical="top" wrapText="1"/>
    </xf>
    <xf numFmtId="49" fontId="11" fillId="0" borderId="2" xfId="0" applyNumberFormat="1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top" wrapText="1"/>
    </xf>
    <xf numFmtId="49" fontId="11" fillId="0" borderId="4" xfId="0" applyNumberFormat="1" applyFont="1" applyBorder="1" applyAlignment="1">
      <alignment horizontal="center" vertical="top" wrapText="1"/>
    </xf>
    <xf numFmtId="164" fontId="11" fillId="0" borderId="2" xfId="0" applyNumberFormat="1" applyFont="1" applyBorder="1" applyAlignment="1">
      <alignment horizontal="left" vertical="top" wrapText="1"/>
    </xf>
    <xf numFmtId="164" fontId="11" fillId="0" borderId="3" xfId="0" applyNumberFormat="1" applyFont="1" applyBorder="1" applyAlignment="1">
      <alignment horizontal="left" vertical="top" wrapText="1"/>
    </xf>
    <xf numFmtId="164" fontId="11" fillId="0" borderId="4" xfId="0" applyNumberFormat="1" applyFont="1" applyBorder="1" applyAlignment="1">
      <alignment horizontal="left" vertical="top" wrapText="1"/>
    </xf>
    <xf numFmtId="49" fontId="5" fillId="0" borderId="13" xfId="0" applyNumberFormat="1" applyFont="1" applyBorder="1" applyAlignment="1">
      <alignment horizontal="center" vertical="top" wrapText="1"/>
    </xf>
    <xf numFmtId="49" fontId="5" fillId="0" borderId="9" xfId="0" applyNumberFormat="1" applyFont="1" applyBorder="1" applyAlignment="1">
      <alignment horizontal="center" vertical="top" wrapText="1"/>
    </xf>
    <xf numFmtId="49" fontId="5" fillId="0" borderId="24" xfId="0" applyNumberFormat="1" applyFont="1" applyBorder="1" applyAlignment="1">
      <alignment horizontal="center" vertical="top" wrapText="1"/>
    </xf>
    <xf numFmtId="49" fontId="5" fillId="0" borderId="2" xfId="0" applyNumberFormat="1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center" vertical="top" wrapText="1"/>
    </xf>
    <xf numFmtId="0" fontId="5" fillId="3" borderId="7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5" fillId="3" borderId="9" xfId="0" applyFont="1" applyFill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16" xfId="0" applyFont="1" applyBorder="1" applyAlignment="1">
      <alignment horizontal="left" vertical="top" wrapText="1"/>
    </xf>
    <xf numFmtId="0" fontId="5" fillId="0" borderId="26" xfId="0" applyFont="1" applyBorder="1" applyAlignment="1">
      <alignment horizontal="left" vertical="top" wrapText="1"/>
    </xf>
    <xf numFmtId="0" fontId="11" fillId="3" borderId="11" xfId="0" applyFont="1" applyFill="1" applyBorder="1" applyAlignment="1">
      <alignment horizontal="center" vertical="top" wrapText="1"/>
    </xf>
    <xf numFmtId="0" fontId="5" fillId="0" borderId="19" xfId="0" applyFont="1" applyBorder="1" applyAlignment="1">
      <alignment horizontal="left" vertical="top" wrapText="1"/>
    </xf>
    <xf numFmtId="0" fontId="5" fillId="0" borderId="32" xfId="0" applyFont="1" applyBorder="1" applyAlignment="1">
      <alignment horizontal="left" vertical="top" wrapText="1"/>
    </xf>
    <xf numFmtId="0" fontId="5" fillId="0" borderId="27" xfId="0" applyFont="1" applyBorder="1" applyAlignment="1">
      <alignment horizontal="left"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0" borderId="38" xfId="0" applyFont="1" applyBorder="1" applyAlignment="1">
      <alignment horizontal="left" vertical="top" wrapText="1"/>
    </xf>
    <xf numFmtId="0" fontId="5" fillId="0" borderId="34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14" fillId="7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20" fillId="0" borderId="0" xfId="0" applyFont="1" applyAlignment="1">
      <alignment vertical="top" wrapText="1"/>
    </xf>
    <xf numFmtId="0" fontId="20" fillId="0" borderId="0" xfId="0" applyFont="1" applyAlignment="1">
      <alignment horizontal="right" vertical="top" wrapText="1"/>
    </xf>
    <xf numFmtId="164" fontId="3" fillId="3" borderId="1" xfId="0" applyNumberFormat="1" applyFont="1" applyFill="1" applyBorder="1" applyAlignment="1">
      <alignment vertical="top" wrapText="1"/>
    </xf>
    <xf numFmtId="164" fontId="5" fillId="3" borderId="4" xfId="0" applyNumberFormat="1" applyFont="1" applyFill="1" applyBorder="1" applyAlignment="1">
      <alignment horizontal="center" vertical="top" wrapText="1"/>
    </xf>
    <xf numFmtId="0" fontId="5" fillId="3" borderId="10" xfId="0" applyFont="1" applyFill="1" applyBorder="1" applyAlignment="1">
      <alignment horizontal="center" vertical="top" wrapText="1"/>
    </xf>
    <xf numFmtId="0" fontId="5" fillId="3" borderId="10" xfId="0" applyFont="1" applyFill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164" fontId="11" fillId="3" borderId="8" xfId="0" applyNumberFormat="1" applyFont="1" applyFill="1" applyBorder="1" applyAlignment="1">
      <alignment horizontal="center" vertical="top"/>
    </xf>
    <xf numFmtId="164" fontId="11" fillId="3" borderId="8" xfId="0" applyNumberFormat="1" applyFont="1" applyFill="1" applyBorder="1" applyAlignment="1">
      <alignment horizontal="center" vertical="top" wrapText="1"/>
    </xf>
    <xf numFmtId="164" fontId="21" fillId="3" borderId="1" xfId="0" applyNumberFormat="1" applyFont="1" applyFill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3" fillId="9" borderId="1" xfId="0" applyFont="1" applyFill="1" applyBorder="1" applyAlignment="1">
      <alignment vertical="top" wrapText="1"/>
    </xf>
    <xf numFmtId="0" fontId="5" fillId="3" borderId="6" xfId="0" applyFont="1" applyFill="1" applyBorder="1" applyAlignment="1">
      <alignment vertical="top" wrapText="1"/>
    </xf>
    <xf numFmtId="0" fontId="5" fillId="0" borderId="11" xfId="0" applyFont="1" applyBorder="1" applyAlignment="1">
      <alignment vertical="top" wrapText="1"/>
    </xf>
    <xf numFmtId="0" fontId="3" fillId="9" borderId="22" xfId="0" applyFont="1" applyFill="1" applyBorder="1" applyAlignment="1">
      <alignment vertical="top" wrapText="1"/>
    </xf>
    <xf numFmtId="0" fontId="5" fillId="0" borderId="8" xfId="0" applyFont="1" applyBorder="1" applyAlignment="1">
      <alignment horizontal="center" vertical="top" wrapText="1"/>
    </xf>
    <xf numFmtId="164" fontId="5" fillId="9" borderId="20" xfId="0" applyNumberFormat="1" applyFont="1" applyFill="1" applyBorder="1" applyAlignment="1">
      <alignment horizontal="center" vertical="top" wrapText="1"/>
    </xf>
    <xf numFmtId="0" fontId="5" fillId="9" borderId="23" xfId="0" applyFont="1" applyFill="1" applyBorder="1" applyAlignment="1">
      <alignment vertical="top" wrapText="1"/>
    </xf>
    <xf numFmtId="0" fontId="3" fillId="3" borderId="20" xfId="0" applyFont="1" applyFill="1" applyBorder="1" applyAlignment="1">
      <alignment vertical="top" wrapText="1"/>
    </xf>
    <xf numFmtId="0" fontId="5" fillId="3" borderId="20" xfId="0" applyFont="1" applyFill="1" applyBorder="1" applyAlignment="1">
      <alignment vertical="top" wrapText="1"/>
    </xf>
    <xf numFmtId="0" fontId="5" fillId="3" borderId="20" xfId="0" applyFont="1" applyFill="1" applyBorder="1" applyAlignment="1">
      <alignment horizontal="center" vertical="top" wrapText="1"/>
    </xf>
    <xf numFmtId="0" fontId="5" fillId="3" borderId="21" xfId="0" applyFont="1" applyFill="1" applyBorder="1" applyAlignment="1">
      <alignment vertical="top" wrapText="1"/>
    </xf>
    <xf numFmtId="0" fontId="5" fillId="3" borderId="8" xfId="0" applyFont="1" applyFill="1" applyBorder="1" applyAlignment="1">
      <alignment horizontal="center" vertical="top" wrapText="1"/>
    </xf>
    <xf numFmtId="0" fontId="12" fillId="7" borderId="19" xfId="0" applyFont="1" applyFill="1" applyBorder="1" applyAlignment="1">
      <alignment horizontal="justify" vertical="top" wrapText="1"/>
    </xf>
    <xf numFmtId="0" fontId="22" fillId="7" borderId="8" xfId="0" applyFont="1" applyFill="1" applyBorder="1" applyAlignment="1">
      <alignment vertical="top" wrapText="1"/>
    </xf>
    <xf numFmtId="0" fontId="5" fillId="0" borderId="8" xfId="0" applyFont="1" applyBorder="1" applyAlignment="1">
      <alignment vertical="center" wrapText="1"/>
    </xf>
    <xf numFmtId="0" fontId="12" fillId="7" borderId="4" xfId="0" applyFont="1" applyFill="1" applyBorder="1" applyAlignment="1">
      <alignment horizontal="justify" vertical="top" wrapText="1"/>
    </xf>
    <xf numFmtId="0" fontId="3" fillId="7" borderId="0" xfId="0" applyFont="1" applyFill="1" applyAlignment="1">
      <alignment vertical="top" wrapText="1"/>
    </xf>
    <xf numFmtId="0" fontId="5" fillId="0" borderId="16" xfId="0" applyFont="1" applyBorder="1" applyAlignment="1">
      <alignment vertical="center" wrapText="1"/>
    </xf>
    <xf numFmtId="164" fontId="12" fillId="3" borderId="2" xfId="0" applyNumberFormat="1" applyFont="1" applyFill="1" applyBorder="1" applyAlignment="1">
      <alignment horizontal="center" vertical="top" wrapText="1"/>
    </xf>
    <xf numFmtId="0" fontId="12" fillId="7" borderId="8" xfId="0" applyFont="1" applyFill="1" applyBorder="1" applyAlignment="1">
      <alignment horizontal="justify" vertical="top" wrapText="1"/>
    </xf>
    <xf numFmtId="0" fontId="12" fillId="7" borderId="8" xfId="0" applyFont="1" applyFill="1" applyBorder="1" applyAlignment="1">
      <alignment vertical="top" wrapText="1"/>
    </xf>
    <xf numFmtId="0" fontId="5" fillId="10" borderId="1" xfId="0" applyFont="1" applyFill="1" applyBorder="1" applyAlignment="1">
      <alignment horizontal="center" vertical="top" wrapText="1"/>
    </xf>
    <xf numFmtId="0" fontId="5" fillId="8" borderId="16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top" wrapText="1"/>
    </xf>
    <xf numFmtId="0" fontId="11" fillId="3" borderId="1" xfId="0" applyFont="1" applyFill="1" applyBorder="1" applyAlignment="1">
      <alignment vertical="top" wrapText="1"/>
    </xf>
    <xf numFmtId="0" fontId="12" fillId="3" borderId="8" xfId="0" applyFont="1" applyFill="1" applyBorder="1" applyAlignment="1">
      <alignment vertical="top" wrapText="1"/>
    </xf>
    <xf numFmtId="0" fontId="5" fillId="0" borderId="17" xfId="0" applyFont="1" applyBorder="1" applyAlignment="1">
      <alignment horizontal="center" vertical="top" wrapText="1"/>
    </xf>
    <xf numFmtId="0" fontId="11" fillId="3" borderId="4" xfId="0" applyFont="1" applyFill="1" applyBorder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wrapText="1"/>
    </xf>
    <xf numFmtId="0" fontId="11" fillId="3" borderId="17" xfId="0" applyFont="1" applyFill="1" applyBorder="1" applyAlignment="1">
      <alignment horizontal="center" vertical="top" wrapText="1"/>
    </xf>
    <xf numFmtId="0" fontId="11" fillId="3" borderId="20" xfId="0" applyFont="1" applyFill="1" applyBorder="1" applyAlignment="1">
      <alignment vertical="top" wrapText="1"/>
    </xf>
    <xf numFmtId="0" fontId="3" fillId="3" borderId="36" xfId="0" applyFont="1" applyFill="1" applyBorder="1" applyAlignment="1">
      <alignment vertical="top" wrapText="1"/>
    </xf>
    <xf numFmtId="0" fontId="5" fillId="3" borderId="17" xfId="0" applyFont="1" applyFill="1" applyBorder="1" applyAlignment="1">
      <alignment horizontal="center" vertical="top" wrapText="1"/>
    </xf>
    <xf numFmtId="0" fontId="12" fillId="3" borderId="37" xfId="0" applyFont="1" applyFill="1" applyBorder="1" applyAlignment="1">
      <alignment vertical="top" wrapText="1"/>
    </xf>
    <xf numFmtId="0" fontId="5" fillId="3" borderId="17" xfId="0" applyFont="1" applyFill="1" applyBorder="1" applyAlignment="1">
      <alignment horizontal="center" vertical="top" wrapText="1"/>
    </xf>
    <xf numFmtId="0" fontId="5" fillId="3" borderId="39" xfId="0" applyFont="1" applyFill="1" applyBorder="1" applyAlignment="1">
      <alignment vertical="top" wrapText="1"/>
    </xf>
    <xf numFmtId="0" fontId="5" fillId="3" borderId="0" xfId="0" applyFont="1" applyFill="1" applyAlignment="1">
      <alignment horizontal="center" vertical="top" wrapText="1"/>
    </xf>
    <xf numFmtId="164" fontId="5" fillId="3" borderId="29" xfId="0" applyNumberFormat="1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vertical="top" wrapText="1"/>
    </xf>
    <xf numFmtId="164" fontId="5" fillId="3" borderId="34" xfId="0" applyNumberFormat="1" applyFont="1" applyFill="1" applyBorder="1" applyAlignment="1">
      <alignment horizontal="center" vertical="top" wrapText="1"/>
    </xf>
    <xf numFmtId="0" fontId="5" fillId="3" borderId="18" xfId="0" applyFont="1" applyFill="1" applyBorder="1" applyAlignment="1">
      <alignment horizontal="center" vertical="top" wrapText="1"/>
    </xf>
    <xf numFmtId="0" fontId="3" fillId="9" borderId="1" xfId="0" applyFont="1" applyFill="1" applyBorder="1" applyAlignment="1">
      <alignment horizontal="left" vertical="top" wrapText="1"/>
    </xf>
    <xf numFmtId="0" fontId="5" fillId="9" borderId="4" xfId="0" applyFont="1" applyFill="1" applyBorder="1" applyAlignment="1">
      <alignment horizontal="left" vertical="top" wrapText="1"/>
    </xf>
    <xf numFmtId="164" fontId="5" fillId="9" borderId="4" xfId="0" applyNumberFormat="1" applyFont="1" applyFill="1" applyBorder="1" applyAlignment="1">
      <alignment horizontal="center" vertical="top" wrapText="1"/>
    </xf>
    <xf numFmtId="0" fontId="5" fillId="9" borderId="3" xfId="0" applyFont="1" applyFill="1" applyBorder="1" applyAlignment="1">
      <alignment horizontal="left" vertical="top" wrapText="1"/>
    </xf>
    <xf numFmtId="0" fontId="3" fillId="3" borderId="8" xfId="0" applyFont="1" applyFill="1" applyBorder="1" applyAlignment="1">
      <alignment horizontal="left" vertical="top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0" fontId="5" fillId="0" borderId="20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7" borderId="19" xfId="0" applyFont="1" applyFill="1" applyBorder="1" applyAlignment="1">
      <alignment horizontal="left" vertical="top" wrapText="1"/>
    </xf>
    <xf numFmtId="0" fontId="3" fillId="7" borderId="19" xfId="0" applyFont="1" applyFill="1" applyBorder="1" applyAlignment="1">
      <alignment vertical="top"/>
    </xf>
    <xf numFmtId="164" fontId="5" fillId="7" borderId="8" xfId="0" applyNumberFormat="1" applyFont="1" applyFill="1" applyBorder="1" applyAlignment="1">
      <alignment horizontal="center" vertical="top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19" xfId="0" applyFont="1" applyFill="1" applyBorder="1" applyAlignment="1">
      <alignment vertical="top" wrapText="1"/>
    </xf>
    <xf numFmtId="164" fontId="5" fillId="3" borderId="3" xfId="0" applyNumberFormat="1" applyFont="1" applyFill="1" applyBorder="1" applyAlignment="1">
      <alignment horizontal="center" vertical="top"/>
    </xf>
    <xf numFmtId="164" fontId="5" fillId="3" borderId="2" xfId="0" applyNumberFormat="1" applyFont="1" applyFill="1" applyBorder="1" applyAlignment="1">
      <alignment horizontal="center" vertical="top"/>
    </xf>
    <xf numFmtId="49" fontId="5" fillId="3" borderId="4" xfId="0" applyNumberFormat="1" applyFont="1" applyFill="1" applyBorder="1" applyAlignment="1">
      <alignment horizontal="center" vertical="top" wrapText="1"/>
    </xf>
    <xf numFmtId="164" fontId="5" fillId="3" borderId="5" xfId="0" applyNumberFormat="1" applyFont="1" applyFill="1" applyBorder="1" applyAlignment="1">
      <alignment horizontal="center" vertical="top"/>
    </xf>
    <xf numFmtId="0" fontId="3" fillId="3" borderId="4" xfId="0" applyFont="1" applyFill="1" applyBorder="1" applyAlignment="1">
      <alignment horizontal="center" vertical="top"/>
    </xf>
    <xf numFmtId="166" fontId="3" fillId="3" borderId="4" xfId="0" applyNumberFormat="1" applyFont="1" applyFill="1" applyBorder="1" applyAlignment="1">
      <alignment horizontal="center" vertical="top"/>
    </xf>
    <xf numFmtId="49" fontId="5" fillId="7" borderId="8" xfId="0" applyNumberFormat="1" applyFont="1" applyFill="1" applyBorder="1" applyAlignment="1">
      <alignment horizontal="center" vertical="top" wrapText="1"/>
    </xf>
    <xf numFmtId="164" fontId="18" fillId="3" borderId="0" xfId="0" applyNumberFormat="1" applyFont="1" applyFill="1"/>
    <xf numFmtId="0" fontId="18" fillId="3" borderId="0" xfId="0" applyFont="1" applyFill="1"/>
  </cellXfs>
  <cellStyles count="2">
    <cellStyle name="Excel Built-in Normal" xfId="1" xr:uid="{48795526-0D47-4B88-AE3F-56B560CE652A}"/>
    <cellStyle name="Įprastas" xfId="0" builtinId="0"/>
  </cellStyles>
  <dxfs count="0"/>
  <tableStyles count="0" defaultTableStyle="TableStyleMedium2" defaultPivotStyle="PivotStyleLight16"/>
  <colors>
    <mruColors>
      <color rgb="FFFFFFCC"/>
      <color rgb="FFFFCCFF"/>
      <color rgb="FF99FFCC"/>
      <color rgb="FFCCFFCC"/>
      <color rgb="FFFFFF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0E112-3B8F-41F4-9BAA-5145454E912F}">
  <dimension ref="A1:L399"/>
  <sheetViews>
    <sheetView tabSelected="1" zoomScaleNormal="100" zoomScaleSheetLayoutView="70" workbookViewId="0"/>
  </sheetViews>
  <sheetFormatPr defaultColWidth="9.109375" defaultRowHeight="13.8" x14ac:dyDescent="0.3"/>
  <cols>
    <col min="1" max="1" width="2.5546875" style="70" customWidth="1"/>
    <col min="2" max="2" width="17.6640625" style="80" customWidth="1"/>
    <col min="3" max="3" width="44.6640625" style="80" customWidth="1"/>
    <col min="4" max="4" width="14.5546875" style="119" customWidth="1"/>
    <col min="5" max="8" width="12.109375" style="120" customWidth="1"/>
    <col min="9" max="9" width="14.6640625" style="120" customWidth="1"/>
    <col min="10" max="16384" width="9.109375" style="70"/>
  </cols>
  <sheetData>
    <row r="1" spans="2:12" ht="30.75" customHeight="1" x14ac:dyDescent="0.3">
      <c r="B1" s="34"/>
      <c r="C1" s="80">
        <v>8</v>
      </c>
      <c r="D1" s="380"/>
      <c r="E1" s="381" t="s">
        <v>0</v>
      </c>
      <c r="F1" s="381"/>
      <c r="G1" s="381"/>
      <c r="H1" s="381"/>
      <c r="I1" s="381"/>
    </row>
    <row r="2" spans="2:12" ht="34.200000000000003" customHeight="1" x14ac:dyDescent="0.3">
      <c r="B2" s="324" t="s">
        <v>1</v>
      </c>
      <c r="C2" s="324"/>
      <c r="D2" s="324"/>
      <c r="E2" s="324"/>
      <c r="F2" s="324"/>
      <c r="G2" s="324"/>
      <c r="H2" s="324"/>
      <c r="I2" s="324"/>
    </row>
    <row r="3" spans="2:12" ht="60" customHeight="1" x14ac:dyDescent="0.3">
      <c r="B3" s="35" t="s">
        <v>2</v>
      </c>
      <c r="C3" s="35" t="s">
        <v>3</v>
      </c>
      <c r="D3" s="35" t="s">
        <v>4</v>
      </c>
      <c r="E3" s="36" t="s">
        <v>5</v>
      </c>
      <c r="F3" s="36" t="s">
        <v>6</v>
      </c>
      <c r="G3" s="36" t="s">
        <v>7</v>
      </c>
      <c r="H3" s="36" t="s">
        <v>8</v>
      </c>
      <c r="I3" s="36" t="s">
        <v>9</v>
      </c>
    </row>
    <row r="4" spans="2:12" ht="15" customHeight="1" x14ac:dyDescent="0.3">
      <c r="B4" s="264">
        <v>1</v>
      </c>
      <c r="C4" s="264">
        <v>2</v>
      </c>
      <c r="D4" s="264">
        <v>3</v>
      </c>
      <c r="E4" s="264">
        <v>4</v>
      </c>
      <c r="F4" s="264">
        <v>5</v>
      </c>
      <c r="G4" s="264">
        <v>6</v>
      </c>
      <c r="H4" s="264">
        <v>7</v>
      </c>
      <c r="I4" s="264">
        <v>8</v>
      </c>
    </row>
    <row r="5" spans="2:12" ht="28.5" customHeight="1" x14ac:dyDescent="0.3">
      <c r="B5" s="37" t="s">
        <v>10</v>
      </c>
      <c r="C5" s="38" t="s">
        <v>11</v>
      </c>
      <c r="D5" s="38"/>
      <c r="E5" s="52"/>
      <c r="F5" s="52"/>
      <c r="G5" s="52"/>
      <c r="H5" s="52"/>
      <c r="I5" s="38"/>
    </row>
    <row r="6" spans="2:12" ht="30" customHeight="1" x14ac:dyDescent="0.3">
      <c r="B6" s="39" t="s">
        <v>12</v>
      </c>
      <c r="C6" s="39" t="s">
        <v>13</v>
      </c>
      <c r="D6" s="40"/>
      <c r="E6" s="41"/>
      <c r="F6" s="41"/>
      <c r="G6" s="41"/>
      <c r="H6" s="41"/>
      <c r="I6" s="42"/>
    </row>
    <row r="7" spans="2:12" ht="29.25" customHeight="1" x14ac:dyDescent="0.3">
      <c r="B7" s="299" t="s">
        <v>14</v>
      </c>
      <c r="C7" s="13" t="s">
        <v>15</v>
      </c>
      <c r="D7" s="303" t="s">
        <v>16</v>
      </c>
      <c r="E7" s="59"/>
      <c r="F7" s="59"/>
      <c r="G7" s="59"/>
      <c r="H7" s="59"/>
      <c r="I7" s="61" t="s">
        <v>17</v>
      </c>
    </row>
    <row r="8" spans="2:12" ht="28.2" customHeight="1" x14ac:dyDescent="0.3">
      <c r="B8" s="305"/>
      <c r="C8" s="71" t="s">
        <v>18</v>
      </c>
      <c r="D8" s="374"/>
      <c r="E8" s="21">
        <f>33678.6+17.2-9.3</f>
        <v>33686.499999999993</v>
      </c>
      <c r="F8" s="21">
        <f>36056.4-0.7+0.8</f>
        <v>36056.500000000007</v>
      </c>
      <c r="G8" s="21">
        <v>36055.699999999997</v>
      </c>
      <c r="H8" s="21">
        <v>35055.699999999997</v>
      </c>
      <c r="I8" s="382"/>
      <c r="L8" s="73"/>
    </row>
    <row r="9" spans="2:12" ht="18" customHeight="1" x14ac:dyDescent="0.3">
      <c r="B9" s="305"/>
      <c r="C9" s="71" t="s">
        <v>19</v>
      </c>
      <c r="D9" s="374"/>
      <c r="E9" s="21">
        <f>19190.9+238.3</f>
        <v>19429.2</v>
      </c>
      <c r="F9" s="21">
        <v>19429.2</v>
      </c>
      <c r="G9" s="21">
        <v>19429.2</v>
      </c>
      <c r="H9" s="21">
        <v>19429.2</v>
      </c>
      <c r="I9" s="59"/>
      <c r="L9" s="73"/>
    </row>
    <row r="10" spans="2:12" ht="17.25" customHeight="1" x14ac:dyDescent="0.3">
      <c r="B10" s="305"/>
      <c r="C10" s="71" t="s">
        <v>20</v>
      </c>
      <c r="D10" s="374"/>
      <c r="E10" s="21">
        <f>5465.1+2.4</f>
        <v>5467.5</v>
      </c>
      <c r="F10" s="21">
        <v>5312.1</v>
      </c>
      <c r="G10" s="21">
        <v>5312.1</v>
      </c>
      <c r="H10" s="21">
        <v>5312.1</v>
      </c>
      <c r="I10" s="59"/>
    </row>
    <row r="11" spans="2:12" ht="17.25" customHeight="1" x14ac:dyDescent="0.3">
      <c r="B11" s="300"/>
      <c r="C11" s="71" t="s">
        <v>21</v>
      </c>
      <c r="D11" s="374"/>
      <c r="E11" s="21">
        <f>112.3+222.2</f>
        <v>334.5</v>
      </c>
      <c r="F11" s="21"/>
      <c r="G11" s="21"/>
      <c r="H11" s="21"/>
      <c r="I11" s="59"/>
    </row>
    <row r="12" spans="2:12" ht="28.5" customHeight="1" x14ac:dyDescent="0.3">
      <c r="B12" s="299" t="s">
        <v>22</v>
      </c>
      <c r="C12" s="8" t="s">
        <v>23</v>
      </c>
      <c r="D12" s="374"/>
      <c r="E12" s="59"/>
      <c r="F12" s="59"/>
      <c r="G12" s="59"/>
      <c r="H12" s="59"/>
      <c r="I12" s="21" t="s">
        <v>17</v>
      </c>
    </row>
    <row r="13" spans="2:12" ht="17.399999999999999" customHeight="1" x14ac:dyDescent="0.3">
      <c r="B13" s="300"/>
      <c r="C13" s="71" t="s">
        <v>19</v>
      </c>
      <c r="D13" s="374"/>
      <c r="E13" s="21">
        <f>1476.7+6.5</f>
        <v>1483.2</v>
      </c>
      <c r="F13" s="21">
        <v>1483.2</v>
      </c>
      <c r="G13" s="21">
        <v>1483.2</v>
      </c>
      <c r="H13" s="21">
        <v>1483.2</v>
      </c>
      <c r="I13" s="59"/>
    </row>
    <row r="14" spans="2:12" ht="18.600000000000001" customHeight="1" x14ac:dyDescent="0.3">
      <c r="B14" s="299" t="s">
        <v>24</v>
      </c>
      <c r="C14" s="8" t="s">
        <v>25</v>
      </c>
      <c r="D14" s="374"/>
      <c r="E14" s="59"/>
      <c r="F14" s="59"/>
      <c r="G14" s="59"/>
      <c r="H14" s="59"/>
      <c r="I14" s="59"/>
    </row>
    <row r="15" spans="2:12" ht="28.2" customHeight="1" x14ac:dyDescent="0.3">
      <c r="B15" s="300"/>
      <c r="C15" s="71" t="s">
        <v>18</v>
      </c>
      <c r="D15" s="374"/>
      <c r="E15" s="21">
        <f>463+47.3</f>
        <v>510.3</v>
      </c>
      <c r="F15" s="21">
        <f>401+62.2</f>
        <v>463.2</v>
      </c>
      <c r="G15" s="21">
        <v>463.2</v>
      </c>
      <c r="H15" s="21">
        <v>463.2</v>
      </c>
      <c r="I15" s="59"/>
    </row>
    <row r="16" spans="2:12" ht="42.6" customHeight="1" x14ac:dyDescent="0.3">
      <c r="B16" s="299" t="s">
        <v>26</v>
      </c>
      <c r="C16" s="8" t="s">
        <v>27</v>
      </c>
      <c r="D16" s="374"/>
      <c r="E16" s="59"/>
      <c r="F16" s="59"/>
      <c r="G16" s="59"/>
      <c r="H16" s="59"/>
      <c r="I16" s="59"/>
    </row>
    <row r="17" spans="2:9" ht="32.25" customHeight="1" x14ac:dyDescent="0.3">
      <c r="B17" s="305"/>
      <c r="C17" s="71" t="s">
        <v>18</v>
      </c>
      <c r="D17" s="58"/>
      <c r="E17" s="21">
        <f>2312.3+5.2</f>
        <v>2317.5</v>
      </c>
      <c r="F17" s="21">
        <f>2481.8-4.5</f>
        <v>2477.3000000000002</v>
      </c>
      <c r="G17" s="21">
        <v>2469.6</v>
      </c>
      <c r="H17" s="21">
        <v>2469.6</v>
      </c>
      <c r="I17" s="59"/>
    </row>
    <row r="18" spans="2:9" ht="18" customHeight="1" x14ac:dyDescent="0.3">
      <c r="B18" s="305"/>
      <c r="C18" s="71" t="s">
        <v>19</v>
      </c>
      <c r="D18" s="58"/>
      <c r="E18" s="383">
        <f>2831.6+6.5</f>
        <v>2838.1</v>
      </c>
      <c r="F18" s="383">
        <v>2838.1</v>
      </c>
      <c r="G18" s="383">
        <v>2838.1</v>
      </c>
      <c r="H18" s="383">
        <v>2838.1</v>
      </c>
      <c r="I18" s="59"/>
    </row>
    <row r="19" spans="2:9" ht="16.95" customHeight="1" x14ac:dyDescent="0.3">
      <c r="B19" s="305"/>
      <c r="C19" s="71" t="s">
        <v>20</v>
      </c>
      <c r="D19" s="58"/>
      <c r="E19" s="383">
        <v>561.6</v>
      </c>
      <c r="F19" s="383">
        <v>563.29999999999995</v>
      </c>
      <c r="G19" s="383">
        <v>563.29999999999995</v>
      </c>
      <c r="H19" s="383">
        <v>563.29999999999995</v>
      </c>
      <c r="I19" s="59"/>
    </row>
    <row r="20" spans="2:9" ht="18" customHeight="1" x14ac:dyDescent="0.3">
      <c r="B20" s="300"/>
      <c r="C20" s="71" t="s">
        <v>21</v>
      </c>
      <c r="D20" s="58"/>
      <c r="E20" s="21">
        <f>19+24.8</f>
        <v>43.8</v>
      </c>
      <c r="F20" s="21"/>
      <c r="G20" s="21"/>
      <c r="H20" s="21"/>
      <c r="I20" s="59"/>
    </row>
    <row r="21" spans="2:9" ht="30.75" customHeight="1" x14ac:dyDescent="0.3">
      <c r="B21" s="299" t="s">
        <v>28</v>
      </c>
      <c r="C21" s="54" t="s">
        <v>29</v>
      </c>
      <c r="D21" s="58"/>
      <c r="E21" s="59"/>
      <c r="F21" s="59"/>
      <c r="G21" s="59"/>
      <c r="H21" s="59"/>
      <c r="I21" s="59"/>
    </row>
    <row r="22" spans="2:9" ht="18" customHeight="1" x14ac:dyDescent="0.3">
      <c r="B22" s="300"/>
      <c r="C22" s="71" t="s">
        <v>19</v>
      </c>
      <c r="D22" s="58"/>
      <c r="E22" s="21">
        <f>444.1+0.7</f>
        <v>444.8</v>
      </c>
      <c r="F22" s="21">
        <v>444.8</v>
      </c>
      <c r="G22" s="21">
        <v>444.8</v>
      </c>
      <c r="H22" s="21">
        <v>444.8</v>
      </c>
      <c r="I22" s="59"/>
    </row>
    <row r="23" spans="2:9" ht="31.5" customHeight="1" x14ac:dyDescent="0.3">
      <c r="B23" s="299" t="s">
        <v>30</v>
      </c>
      <c r="C23" s="8" t="s">
        <v>31</v>
      </c>
      <c r="D23" s="58"/>
      <c r="E23" s="21"/>
      <c r="F23" s="21"/>
      <c r="G23" s="21"/>
      <c r="H23" s="21"/>
      <c r="I23" s="59"/>
    </row>
    <row r="24" spans="2:9" ht="31.5" customHeight="1" x14ac:dyDescent="0.3">
      <c r="B24" s="305"/>
      <c r="C24" s="71" t="s">
        <v>18</v>
      </c>
      <c r="D24" s="58"/>
      <c r="E24" s="21">
        <f>14795.1+81.8+193.3</f>
        <v>15070.199999999999</v>
      </c>
      <c r="F24" s="21">
        <f>16609-3.2</f>
        <v>16605.8</v>
      </c>
      <c r="G24" s="21">
        <v>16609</v>
      </c>
      <c r="H24" s="21">
        <v>16609</v>
      </c>
      <c r="I24" s="59"/>
    </row>
    <row r="25" spans="2:9" ht="19.2" customHeight="1" x14ac:dyDescent="0.3">
      <c r="B25" s="305"/>
      <c r="C25" s="71" t="s">
        <v>19</v>
      </c>
      <c r="D25" s="58"/>
      <c r="E25" s="21">
        <v>58260.1</v>
      </c>
      <c r="F25" s="21">
        <f>58260.1+518.7</f>
        <v>58778.799999999996</v>
      </c>
      <c r="G25" s="21">
        <f t="shared" ref="G25:H25" si="0">58260.1+518.7</f>
        <v>58778.799999999996</v>
      </c>
      <c r="H25" s="21">
        <f t="shared" si="0"/>
        <v>58778.799999999996</v>
      </c>
      <c r="I25" s="59"/>
    </row>
    <row r="26" spans="2:9" ht="20.399999999999999" customHeight="1" x14ac:dyDescent="0.3">
      <c r="B26" s="305"/>
      <c r="C26" s="71" t="s">
        <v>20</v>
      </c>
      <c r="D26" s="58"/>
      <c r="E26" s="21">
        <v>1402.6</v>
      </c>
      <c r="F26" s="21">
        <v>1556.7</v>
      </c>
      <c r="G26" s="21">
        <v>1556.7</v>
      </c>
      <c r="H26" s="21">
        <v>1556.7</v>
      </c>
      <c r="I26" s="3"/>
    </row>
    <row r="27" spans="2:9" ht="18" customHeight="1" x14ac:dyDescent="0.3">
      <c r="B27" s="300"/>
      <c r="C27" s="71" t="s">
        <v>21</v>
      </c>
      <c r="D27" s="58"/>
      <c r="E27" s="21">
        <f>97.6+19.1</f>
        <v>116.69999999999999</v>
      </c>
      <c r="F27" s="21"/>
      <c r="G27" s="21"/>
      <c r="H27" s="21"/>
      <c r="I27" s="3"/>
    </row>
    <row r="28" spans="2:9" ht="39.75" customHeight="1" x14ac:dyDescent="0.3">
      <c r="B28" s="325"/>
      <c r="C28" s="75" t="s">
        <v>32</v>
      </c>
      <c r="D28" s="58"/>
      <c r="E28" s="3"/>
      <c r="F28" s="3"/>
      <c r="G28" s="3"/>
      <c r="H28" s="3"/>
      <c r="I28" s="3"/>
    </row>
    <row r="29" spans="2:9" ht="28.5" customHeight="1" x14ac:dyDescent="0.3">
      <c r="B29" s="319"/>
      <c r="C29" s="71" t="s">
        <v>18</v>
      </c>
      <c r="D29" s="58"/>
      <c r="E29" s="3"/>
      <c r="F29" s="21">
        <f>24-24</f>
        <v>0</v>
      </c>
      <c r="G29" s="3"/>
      <c r="H29" s="3"/>
      <c r="I29" s="3"/>
    </row>
    <row r="30" spans="2:9" ht="19.2" customHeight="1" x14ac:dyDescent="0.3">
      <c r="B30" s="326"/>
      <c r="C30" s="50" t="s">
        <v>33</v>
      </c>
      <c r="D30" s="58"/>
      <c r="E30" s="21">
        <v>96</v>
      </c>
      <c r="F30" s="21"/>
      <c r="G30" s="21"/>
      <c r="H30" s="21"/>
      <c r="I30" s="3"/>
    </row>
    <row r="31" spans="2:9" ht="30.75" customHeight="1" x14ac:dyDescent="0.3">
      <c r="B31" s="325" t="s">
        <v>34</v>
      </c>
      <c r="C31" s="55" t="s">
        <v>35</v>
      </c>
      <c r="D31" s="58"/>
      <c r="E31" s="21"/>
      <c r="F31" s="21"/>
      <c r="G31" s="21"/>
      <c r="H31" s="21"/>
      <c r="I31" s="3"/>
    </row>
    <row r="32" spans="2:9" ht="26.4" x14ac:dyDescent="0.3">
      <c r="B32" s="319"/>
      <c r="C32" s="71" t="s">
        <v>18</v>
      </c>
      <c r="D32" s="58"/>
      <c r="E32" s="21"/>
      <c r="F32" s="21">
        <v>5.6</v>
      </c>
      <c r="G32" s="21"/>
      <c r="H32" s="21"/>
      <c r="I32" s="3"/>
    </row>
    <row r="33" spans="2:9" ht="55.5" customHeight="1" x14ac:dyDescent="0.3">
      <c r="B33" s="325" t="s">
        <v>36</v>
      </c>
      <c r="C33" s="55" t="s">
        <v>37</v>
      </c>
      <c r="D33" s="58"/>
      <c r="E33" s="21"/>
      <c r="F33" s="21"/>
      <c r="G33" s="21"/>
      <c r="H33" s="21"/>
      <c r="I33" s="3"/>
    </row>
    <row r="34" spans="2:9" ht="28.5" customHeight="1" x14ac:dyDescent="0.3">
      <c r="B34" s="319"/>
      <c r="C34" s="71" t="s">
        <v>18</v>
      </c>
      <c r="D34" s="58"/>
      <c r="E34" s="21"/>
      <c r="F34" s="21">
        <v>8.4</v>
      </c>
      <c r="G34" s="21"/>
      <c r="H34" s="21"/>
      <c r="I34" s="3"/>
    </row>
    <row r="35" spans="2:9" ht="33" customHeight="1" x14ac:dyDescent="0.3">
      <c r="B35" s="325" t="s">
        <v>38</v>
      </c>
      <c r="C35" s="55" t="s">
        <v>39</v>
      </c>
      <c r="D35" s="58"/>
      <c r="E35" s="21"/>
      <c r="F35" s="21"/>
      <c r="G35" s="21"/>
      <c r="H35" s="21"/>
      <c r="I35" s="3"/>
    </row>
    <row r="36" spans="2:9" ht="28.5" customHeight="1" x14ac:dyDescent="0.3">
      <c r="B36" s="319"/>
      <c r="C36" s="71" t="s">
        <v>18</v>
      </c>
      <c r="D36" s="58"/>
      <c r="E36" s="21"/>
      <c r="F36" s="21">
        <v>6.4</v>
      </c>
      <c r="G36" s="21"/>
      <c r="H36" s="21"/>
      <c r="I36" s="3"/>
    </row>
    <row r="37" spans="2:9" ht="39.75" customHeight="1" x14ac:dyDescent="0.3">
      <c r="B37" s="325" t="s">
        <v>40</v>
      </c>
      <c r="C37" s="55" t="s">
        <v>41</v>
      </c>
      <c r="D37" s="58"/>
      <c r="E37" s="21"/>
      <c r="F37" s="21"/>
      <c r="G37" s="21"/>
      <c r="H37" s="21"/>
      <c r="I37" s="3"/>
    </row>
    <row r="38" spans="2:9" ht="26.4" x14ac:dyDescent="0.3">
      <c r="B38" s="319"/>
      <c r="C38" s="71" t="s">
        <v>18</v>
      </c>
      <c r="D38" s="58"/>
      <c r="E38" s="21"/>
      <c r="F38" s="21">
        <f>3-0.7</f>
        <v>2.2999999999999998</v>
      </c>
      <c r="G38" s="21"/>
      <c r="H38" s="21"/>
      <c r="I38" s="3"/>
    </row>
    <row r="39" spans="2:9" ht="29.25" customHeight="1" x14ac:dyDescent="0.3">
      <c r="B39" s="325"/>
      <c r="C39" s="8" t="s">
        <v>42</v>
      </c>
      <c r="D39" s="58"/>
      <c r="E39" s="3"/>
      <c r="F39" s="3"/>
      <c r="G39" s="3"/>
      <c r="H39" s="3"/>
      <c r="I39" s="61"/>
    </row>
    <row r="40" spans="2:9" ht="16.2" customHeight="1" x14ac:dyDescent="0.3">
      <c r="B40" s="319"/>
      <c r="C40" s="71" t="s">
        <v>19</v>
      </c>
      <c r="D40" s="58"/>
      <c r="E40" s="62">
        <v>518.70000000000005</v>
      </c>
      <c r="F40" s="62"/>
      <c r="G40" s="62"/>
      <c r="H40" s="62"/>
      <c r="I40" s="3"/>
    </row>
    <row r="41" spans="2:9" ht="21" customHeight="1" x14ac:dyDescent="0.3">
      <c r="B41" s="299" t="s">
        <v>43</v>
      </c>
      <c r="C41" s="54" t="s">
        <v>44</v>
      </c>
      <c r="D41" s="384" t="s">
        <v>16</v>
      </c>
      <c r="E41" s="59"/>
      <c r="F41" s="59"/>
      <c r="G41" s="3"/>
      <c r="H41" s="3"/>
      <c r="I41" s="3"/>
    </row>
    <row r="42" spans="2:9" ht="21" customHeight="1" x14ac:dyDescent="0.3">
      <c r="B42" s="305"/>
      <c r="C42" s="50" t="s">
        <v>19</v>
      </c>
      <c r="D42" s="374"/>
      <c r="E42" s="21">
        <f>421.6+19.3-19.3</f>
        <v>421.6</v>
      </c>
      <c r="F42" s="21">
        <f>1051.4-13</f>
        <v>1038.4000000000001</v>
      </c>
      <c r="G42" s="21">
        <v>105</v>
      </c>
      <c r="H42" s="21"/>
      <c r="I42" s="3"/>
    </row>
    <row r="43" spans="2:9" ht="29.25" customHeight="1" x14ac:dyDescent="0.3">
      <c r="B43" s="305"/>
      <c r="C43" s="50" t="s">
        <v>45</v>
      </c>
      <c r="D43" s="304"/>
      <c r="E43" s="21">
        <f>2147.2+145-145</f>
        <v>2147.1999999999998</v>
      </c>
      <c r="F43" s="21">
        <f>5437.8-0.1</f>
        <v>5437.7</v>
      </c>
      <c r="G43" s="21">
        <v>500</v>
      </c>
      <c r="H43" s="21"/>
      <c r="I43" s="59"/>
    </row>
    <row r="44" spans="2:9" ht="18.600000000000001" customHeight="1" x14ac:dyDescent="0.3">
      <c r="B44" s="305"/>
      <c r="C44" s="50" t="s">
        <v>19</v>
      </c>
      <c r="D44" s="320" t="s">
        <v>46</v>
      </c>
      <c r="E44" s="21">
        <v>19.3</v>
      </c>
      <c r="F44" s="21">
        <v>436.6</v>
      </c>
      <c r="G44" s="21">
        <v>304</v>
      </c>
      <c r="H44" s="21"/>
      <c r="I44" s="59"/>
    </row>
    <row r="45" spans="2:9" ht="26.4" customHeight="1" x14ac:dyDescent="0.3">
      <c r="B45" s="305"/>
      <c r="C45" s="50" t="s">
        <v>45</v>
      </c>
      <c r="D45" s="321"/>
      <c r="E45" s="21">
        <v>91.5</v>
      </c>
      <c r="F45" s="21">
        <v>2078.6</v>
      </c>
      <c r="G45" s="21">
        <v>1447.6</v>
      </c>
      <c r="H45" s="21"/>
      <c r="I45" s="59"/>
    </row>
    <row r="46" spans="2:9" ht="26.4" customHeight="1" x14ac:dyDescent="0.3">
      <c r="B46" s="319"/>
      <c r="C46" s="108" t="s">
        <v>18</v>
      </c>
      <c r="D46" s="321"/>
      <c r="E46" s="62"/>
      <c r="F46" s="62">
        <v>300</v>
      </c>
      <c r="G46" s="62"/>
      <c r="H46" s="62"/>
      <c r="I46" s="63"/>
    </row>
    <row r="47" spans="2:9" ht="29.4" customHeight="1" x14ac:dyDescent="0.3">
      <c r="B47" s="300"/>
      <c r="C47" s="50" t="s">
        <v>45</v>
      </c>
      <c r="D47" s="385" t="s">
        <v>47</v>
      </c>
      <c r="E47" s="21">
        <v>53.5</v>
      </c>
      <c r="F47" s="21">
        <v>156.19999999999999</v>
      </c>
      <c r="G47" s="21">
        <v>70.599999999999994</v>
      </c>
      <c r="H47" s="21"/>
      <c r="I47" s="59"/>
    </row>
    <row r="48" spans="2:9" ht="30" customHeight="1" x14ac:dyDescent="0.3">
      <c r="B48" s="299" t="s">
        <v>48</v>
      </c>
      <c r="C48" s="8" t="s">
        <v>49</v>
      </c>
      <c r="D48" s="320" t="s">
        <v>355</v>
      </c>
      <c r="E48" s="3"/>
      <c r="F48" s="3"/>
      <c r="G48" s="3"/>
      <c r="H48" s="3"/>
      <c r="I48" s="61"/>
    </row>
    <row r="49" spans="2:9" ht="29.25" customHeight="1" x14ac:dyDescent="0.3">
      <c r="B49" s="300"/>
      <c r="C49" s="71" t="s">
        <v>19</v>
      </c>
      <c r="D49" s="321"/>
      <c r="E49" s="62">
        <f>4564.9+2.2</f>
        <v>4567.0999999999995</v>
      </c>
      <c r="F49" s="62">
        <v>4567.1000000000004</v>
      </c>
      <c r="G49" s="62">
        <v>4567.1000000000004</v>
      </c>
      <c r="H49" s="62">
        <v>4567.1000000000004</v>
      </c>
      <c r="I49" s="3"/>
    </row>
    <row r="50" spans="2:9" ht="42" customHeight="1" x14ac:dyDescent="0.3">
      <c r="B50" s="299" t="s">
        <v>50</v>
      </c>
      <c r="C50" s="8" t="s">
        <v>51</v>
      </c>
      <c r="D50" s="301" t="s">
        <v>52</v>
      </c>
      <c r="E50" s="62"/>
      <c r="F50" s="62"/>
      <c r="G50" s="62"/>
      <c r="H50" s="62"/>
      <c r="I50" s="3"/>
    </row>
    <row r="51" spans="2:9" ht="29.4" customHeight="1" x14ac:dyDescent="0.3">
      <c r="B51" s="300"/>
      <c r="C51" s="71" t="s">
        <v>18</v>
      </c>
      <c r="D51" s="302"/>
      <c r="E51" s="62">
        <v>41.3</v>
      </c>
      <c r="F51" s="62">
        <v>130.19999999999999</v>
      </c>
      <c r="G51" s="62">
        <v>130.19999999999999</v>
      </c>
      <c r="H51" s="62">
        <v>130.19999999999999</v>
      </c>
      <c r="I51" s="3"/>
    </row>
    <row r="52" spans="2:9" ht="44.4" customHeight="1" x14ac:dyDescent="0.3">
      <c r="B52" s="299" t="s">
        <v>53</v>
      </c>
      <c r="C52" s="8" t="s">
        <v>54</v>
      </c>
      <c r="D52" s="386" t="s">
        <v>52</v>
      </c>
      <c r="E52" s="62"/>
      <c r="F52" s="62"/>
      <c r="G52" s="62"/>
      <c r="H52" s="62"/>
      <c r="I52" s="3"/>
    </row>
    <row r="53" spans="2:9" ht="32.25" customHeight="1" x14ac:dyDescent="0.3">
      <c r="B53" s="305"/>
      <c r="C53" s="71" t="s">
        <v>18</v>
      </c>
      <c r="D53" s="387"/>
      <c r="E53" s="64">
        <v>12.6</v>
      </c>
      <c r="F53" s="64">
        <v>13.3</v>
      </c>
      <c r="G53" s="64">
        <v>13.3</v>
      </c>
      <c r="H53" s="64">
        <v>13.3</v>
      </c>
      <c r="I53" s="76"/>
    </row>
    <row r="54" spans="2:9" ht="32.25" customHeight="1" x14ac:dyDescent="0.3">
      <c r="B54" s="368" t="s">
        <v>55</v>
      </c>
      <c r="C54" s="260" t="s">
        <v>56</v>
      </c>
      <c r="D54" s="387"/>
      <c r="E54" s="65"/>
      <c r="F54" s="65"/>
      <c r="G54" s="65"/>
      <c r="H54" s="65"/>
      <c r="I54" s="77"/>
    </row>
    <row r="55" spans="2:9" ht="32.25" customHeight="1" x14ac:dyDescent="0.3">
      <c r="B55" s="369"/>
      <c r="C55" s="199" t="s">
        <v>18</v>
      </c>
      <c r="D55" s="387"/>
      <c r="E55" s="388">
        <f>10995.6+1</f>
        <v>10996.6</v>
      </c>
      <c r="F55" s="388">
        <f>11709.9+308.7</f>
        <v>12018.6</v>
      </c>
      <c r="G55" s="388">
        <v>12018.6</v>
      </c>
      <c r="H55" s="388">
        <v>12018.6</v>
      </c>
      <c r="I55" s="77"/>
    </row>
    <row r="56" spans="2:9" ht="18.600000000000001" customHeight="1" x14ac:dyDescent="0.3">
      <c r="B56" s="369"/>
      <c r="C56" s="199" t="s">
        <v>19</v>
      </c>
      <c r="D56" s="387"/>
      <c r="E56" s="389">
        <v>160.19999999999999</v>
      </c>
      <c r="F56" s="389">
        <v>160.19999999999999</v>
      </c>
      <c r="G56" s="389">
        <v>160.19999999999999</v>
      </c>
      <c r="H56" s="389">
        <v>160.19999999999999</v>
      </c>
      <c r="I56" s="77"/>
    </row>
    <row r="57" spans="2:9" ht="19.2" customHeight="1" x14ac:dyDescent="0.3">
      <c r="B57" s="369"/>
      <c r="C57" s="199" t="s">
        <v>20</v>
      </c>
      <c r="D57" s="387"/>
      <c r="E57" s="66">
        <v>488.7</v>
      </c>
      <c r="F57" s="66">
        <v>522.29999999999995</v>
      </c>
      <c r="G57" s="66">
        <v>522.29999999999995</v>
      </c>
      <c r="H57" s="66">
        <v>522.29999999999995</v>
      </c>
      <c r="I57" s="78"/>
    </row>
    <row r="58" spans="2:9" ht="18" customHeight="1" x14ac:dyDescent="0.3">
      <c r="B58" s="371"/>
      <c r="C58" s="199" t="s">
        <v>21</v>
      </c>
      <c r="D58" s="387"/>
      <c r="E58" s="62">
        <v>105.9</v>
      </c>
      <c r="F58" s="62"/>
      <c r="G58" s="62"/>
      <c r="H58" s="62"/>
      <c r="I58" s="3"/>
    </row>
    <row r="59" spans="2:9" ht="31.2" customHeight="1" x14ac:dyDescent="0.3">
      <c r="B59" s="91"/>
      <c r="C59" s="8" t="s">
        <v>57</v>
      </c>
      <c r="D59" s="387"/>
      <c r="E59" s="62"/>
      <c r="F59" s="62"/>
      <c r="G59" s="390"/>
      <c r="H59" s="62"/>
      <c r="I59" s="3"/>
    </row>
    <row r="60" spans="2:9" ht="27.75" customHeight="1" x14ac:dyDescent="0.3">
      <c r="B60" s="259"/>
      <c r="C60" s="71" t="s">
        <v>18</v>
      </c>
      <c r="D60" s="387"/>
      <c r="E60" s="62">
        <v>53.1</v>
      </c>
      <c r="F60" s="62"/>
      <c r="G60" s="62"/>
      <c r="H60" s="62"/>
      <c r="I60" s="3"/>
    </row>
    <row r="61" spans="2:9" ht="30.75" customHeight="1" x14ac:dyDescent="0.3">
      <c r="B61" s="299" t="s">
        <v>58</v>
      </c>
      <c r="C61" s="8" t="s">
        <v>59</v>
      </c>
      <c r="D61" s="387"/>
      <c r="E61" s="63"/>
      <c r="F61" s="63"/>
      <c r="G61" s="63"/>
      <c r="H61" s="63"/>
      <c r="I61" s="291" t="s">
        <v>60</v>
      </c>
    </row>
    <row r="62" spans="2:9" ht="30.75" customHeight="1" x14ac:dyDescent="0.3">
      <c r="B62" s="305"/>
      <c r="C62" s="71" t="s">
        <v>18</v>
      </c>
      <c r="D62" s="387"/>
      <c r="E62" s="62">
        <v>563.5</v>
      </c>
      <c r="F62" s="62">
        <f>662+9.4-35.6</f>
        <v>635.79999999999995</v>
      </c>
      <c r="G62" s="62">
        <v>628.1</v>
      </c>
      <c r="H62" s="62">
        <v>628.1</v>
      </c>
      <c r="I62" s="59"/>
    </row>
    <row r="63" spans="2:9" ht="18" customHeight="1" x14ac:dyDescent="0.3">
      <c r="B63" s="305"/>
      <c r="C63" s="71" t="s">
        <v>19</v>
      </c>
      <c r="D63" s="387"/>
      <c r="E63" s="66">
        <v>1145.3</v>
      </c>
      <c r="F63" s="66">
        <v>1145.3</v>
      </c>
      <c r="G63" s="66">
        <v>1145.3</v>
      </c>
      <c r="H63" s="66">
        <v>1145.3</v>
      </c>
      <c r="I63" s="3"/>
    </row>
    <row r="64" spans="2:9" ht="18" customHeight="1" x14ac:dyDescent="0.3">
      <c r="B64" s="305"/>
      <c r="C64" s="71" t="s">
        <v>20</v>
      </c>
      <c r="D64" s="387"/>
      <c r="E64" s="66">
        <v>22</v>
      </c>
      <c r="F64" s="66">
        <v>22</v>
      </c>
      <c r="G64" s="66">
        <v>22</v>
      </c>
      <c r="H64" s="66">
        <v>22</v>
      </c>
      <c r="I64" s="3"/>
    </row>
    <row r="65" spans="2:9" ht="18" customHeight="1" x14ac:dyDescent="0.3">
      <c r="B65" s="300"/>
      <c r="C65" s="71" t="s">
        <v>21</v>
      </c>
      <c r="D65" s="387"/>
      <c r="E65" s="62">
        <f>3.3+0.6</f>
        <v>3.9</v>
      </c>
      <c r="F65" s="62"/>
      <c r="G65" s="62"/>
      <c r="H65" s="62"/>
      <c r="I65" s="3"/>
    </row>
    <row r="66" spans="2:9" ht="42.6" customHeight="1" x14ac:dyDescent="0.3">
      <c r="B66" s="299" t="s">
        <v>61</v>
      </c>
      <c r="C66" s="8" t="s">
        <v>62</v>
      </c>
      <c r="D66" s="387"/>
      <c r="E66" s="63"/>
      <c r="F66" s="63"/>
      <c r="G66" s="63"/>
      <c r="H66" s="63"/>
      <c r="I66" s="3"/>
    </row>
    <row r="67" spans="2:9" s="80" customFormat="1" ht="29.25" customHeight="1" x14ac:dyDescent="0.3">
      <c r="B67" s="305"/>
      <c r="C67" s="79" t="s">
        <v>18</v>
      </c>
      <c r="D67" s="387"/>
      <c r="E67" s="62">
        <v>97.1</v>
      </c>
      <c r="F67" s="62">
        <v>97</v>
      </c>
      <c r="G67" s="62">
        <v>55</v>
      </c>
      <c r="H67" s="62"/>
      <c r="I67" s="3"/>
    </row>
    <row r="68" spans="2:9" ht="22.5" customHeight="1" x14ac:dyDescent="0.3">
      <c r="B68" s="299" t="s">
        <v>63</v>
      </c>
      <c r="C68" s="8" t="s">
        <v>64</v>
      </c>
      <c r="D68" s="387"/>
      <c r="E68" s="63"/>
      <c r="F68" s="63"/>
      <c r="G68" s="63"/>
      <c r="H68" s="63"/>
      <c r="I68" s="61"/>
    </row>
    <row r="69" spans="2:9" ht="29.25" customHeight="1" x14ac:dyDescent="0.3">
      <c r="B69" s="305"/>
      <c r="C69" s="71" t="s">
        <v>18</v>
      </c>
      <c r="D69" s="387"/>
      <c r="E69" s="62">
        <f>884.3+0.6</f>
        <v>884.9</v>
      </c>
      <c r="F69" s="62">
        <f>949.9+0.5</f>
        <v>950.4</v>
      </c>
      <c r="G69" s="62">
        <v>950.4</v>
      </c>
      <c r="H69" s="62">
        <v>950.4</v>
      </c>
      <c r="I69" s="59"/>
    </row>
    <row r="70" spans="2:9" ht="19.5" customHeight="1" x14ac:dyDescent="0.3">
      <c r="B70" s="305"/>
      <c r="C70" s="71" t="s">
        <v>19</v>
      </c>
      <c r="D70" s="387"/>
      <c r="E70" s="66">
        <f>410.6+0.7</f>
        <v>411.3</v>
      </c>
      <c r="F70" s="66">
        <v>411.3</v>
      </c>
      <c r="G70" s="66">
        <v>411.3</v>
      </c>
      <c r="H70" s="66">
        <v>411.3</v>
      </c>
      <c r="I70" s="3"/>
    </row>
    <row r="71" spans="2:9" ht="16.95" customHeight="1" x14ac:dyDescent="0.3">
      <c r="B71" s="305"/>
      <c r="C71" s="71" t="s">
        <v>20</v>
      </c>
      <c r="D71" s="387"/>
      <c r="E71" s="66">
        <v>60.4</v>
      </c>
      <c r="F71" s="66">
        <v>57.9</v>
      </c>
      <c r="G71" s="66">
        <v>57.9</v>
      </c>
      <c r="H71" s="66">
        <v>57.9</v>
      </c>
      <c r="I71" s="3"/>
    </row>
    <row r="72" spans="2:9" ht="18" customHeight="1" x14ac:dyDescent="0.3">
      <c r="B72" s="300"/>
      <c r="C72" s="71" t="s">
        <v>21</v>
      </c>
      <c r="D72" s="387"/>
      <c r="E72" s="62">
        <f>4.8+1.9</f>
        <v>6.6999999999999993</v>
      </c>
      <c r="F72" s="62"/>
      <c r="G72" s="62"/>
      <c r="H72" s="62"/>
      <c r="I72" s="3"/>
    </row>
    <row r="73" spans="2:9" ht="28.5" customHeight="1" x14ac:dyDescent="0.3">
      <c r="B73" s="299" t="s">
        <v>65</v>
      </c>
      <c r="C73" s="8" t="s">
        <v>66</v>
      </c>
      <c r="D73" s="387"/>
      <c r="E73" s="63"/>
      <c r="F73" s="63"/>
      <c r="G73" s="63"/>
      <c r="H73" s="63"/>
      <c r="I73" s="61" t="s">
        <v>67</v>
      </c>
    </row>
    <row r="74" spans="2:9" ht="28.5" customHeight="1" x14ac:dyDescent="0.3">
      <c r="B74" s="305"/>
      <c r="C74" s="71" t="s">
        <v>18</v>
      </c>
      <c r="D74" s="387"/>
      <c r="E74" s="62">
        <v>517</v>
      </c>
      <c r="F74" s="62">
        <f>546.8+2.5</f>
        <v>549.29999999999995</v>
      </c>
      <c r="G74" s="62">
        <v>549.29999999999995</v>
      </c>
      <c r="H74" s="62">
        <v>549.29999999999995</v>
      </c>
      <c r="I74" s="3"/>
    </row>
    <row r="75" spans="2:9" ht="18" customHeight="1" x14ac:dyDescent="0.3">
      <c r="B75" s="305"/>
      <c r="C75" s="71" t="s">
        <v>20</v>
      </c>
      <c r="D75" s="387"/>
      <c r="E75" s="66">
        <v>35</v>
      </c>
      <c r="F75" s="66">
        <v>35</v>
      </c>
      <c r="G75" s="66">
        <v>35</v>
      </c>
      <c r="H75" s="66">
        <v>35</v>
      </c>
      <c r="I75" s="3"/>
    </row>
    <row r="76" spans="2:9" ht="17.399999999999999" customHeight="1" x14ac:dyDescent="0.3">
      <c r="B76" s="300"/>
      <c r="C76" s="71" t="s">
        <v>21</v>
      </c>
      <c r="D76" s="391"/>
      <c r="E76" s="62">
        <f>2.5+1.5</f>
        <v>4</v>
      </c>
      <c r="F76" s="62"/>
      <c r="G76" s="62"/>
      <c r="H76" s="62"/>
      <c r="I76" s="3"/>
    </row>
    <row r="77" spans="2:9" ht="40.5" customHeight="1" x14ac:dyDescent="0.3">
      <c r="B77" s="299" t="s">
        <v>68</v>
      </c>
      <c r="C77" s="8" t="s">
        <v>69</v>
      </c>
      <c r="D77" s="301" t="s">
        <v>52</v>
      </c>
      <c r="E77" s="67"/>
      <c r="F77" s="62"/>
      <c r="G77" s="62"/>
      <c r="H77" s="67"/>
      <c r="I77" s="291" t="s">
        <v>70</v>
      </c>
    </row>
    <row r="78" spans="2:9" ht="28.5" customHeight="1" x14ac:dyDescent="0.3">
      <c r="B78" s="300"/>
      <c r="C78" s="71" t="s">
        <v>18</v>
      </c>
      <c r="D78" s="302"/>
      <c r="E78" s="67">
        <v>10.4</v>
      </c>
      <c r="F78" s="62">
        <v>3</v>
      </c>
      <c r="G78" s="62">
        <v>3</v>
      </c>
      <c r="H78" s="67">
        <v>3</v>
      </c>
      <c r="I78" s="3"/>
    </row>
    <row r="79" spans="2:9" ht="30.75" customHeight="1" x14ac:dyDescent="0.3">
      <c r="B79" s="299" t="s">
        <v>71</v>
      </c>
      <c r="C79" s="392" t="s">
        <v>72</v>
      </c>
      <c r="D79" s="301" t="s">
        <v>16</v>
      </c>
      <c r="E79" s="67"/>
      <c r="F79" s="62"/>
      <c r="G79" s="62"/>
      <c r="H79" s="67"/>
      <c r="I79" s="61"/>
    </row>
    <row r="80" spans="2:9" ht="28.5" customHeight="1" x14ac:dyDescent="0.3">
      <c r="B80" s="300"/>
      <c r="C80" s="71" t="s">
        <v>18</v>
      </c>
      <c r="D80" s="364"/>
      <c r="E80" s="62">
        <f>137-20</f>
        <v>117</v>
      </c>
      <c r="F80" s="62">
        <v>116.2</v>
      </c>
      <c r="G80" s="62">
        <v>123.3</v>
      </c>
      <c r="H80" s="62">
        <v>123.3</v>
      </c>
      <c r="I80" s="3"/>
    </row>
    <row r="81" spans="2:9" ht="31.2" customHeight="1" x14ac:dyDescent="0.3">
      <c r="B81" s="299" t="s">
        <v>73</v>
      </c>
      <c r="C81" s="8" t="s">
        <v>74</v>
      </c>
      <c r="D81" s="364"/>
      <c r="E81" s="67"/>
      <c r="F81" s="62"/>
      <c r="G81" s="62"/>
      <c r="H81" s="67"/>
      <c r="I81" s="3"/>
    </row>
    <row r="82" spans="2:9" ht="28.5" customHeight="1" x14ac:dyDescent="0.3">
      <c r="B82" s="300"/>
      <c r="C82" s="71" t="s">
        <v>18</v>
      </c>
      <c r="D82" s="364"/>
      <c r="E82" s="62">
        <v>143.6</v>
      </c>
      <c r="F82" s="62">
        <v>166</v>
      </c>
      <c r="G82" s="62">
        <v>184.6</v>
      </c>
      <c r="H82" s="62">
        <v>192</v>
      </c>
      <c r="I82" s="3"/>
    </row>
    <row r="83" spans="2:9" ht="41.25" customHeight="1" x14ac:dyDescent="0.3">
      <c r="B83" s="299" t="s">
        <v>75</v>
      </c>
      <c r="C83" s="8" t="s">
        <v>76</v>
      </c>
      <c r="D83" s="364"/>
      <c r="E83" s="67"/>
      <c r="F83" s="62"/>
      <c r="G83" s="62"/>
      <c r="H83" s="67"/>
      <c r="I83" s="291" t="s">
        <v>77</v>
      </c>
    </row>
    <row r="84" spans="2:9" ht="31.5" customHeight="1" x14ac:dyDescent="0.3">
      <c r="B84" s="300"/>
      <c r="C84" s="71" t="s">
        <v>18</v>
      </c>
      <c r="D84" s="302"/>
      <c r="E84" s="67">
        <v>400.1</v>
      </c>
      <c r="F84" s="62">
        <v>337</v>
      </c>
      <c r="G84" s="62">
        <v>337</v>
      </c>
      <c r="H84" s="67">
        <v>337</v>
      </c>
      <c r="I84" s="3"/>
    </row>
    <row r="85" spans="2:9" ht="31.5" customHeight="1" x14ac:dyDescent="0.3">
      <c r="B85" s="299" t="s">
        <v>78</v>
      </c>
      <c r="C85" s="13" t="s">
        <v>79</v>
      </c>
      <c r="D85" s="287" t="s">
        <v>52</v>
      </c>
      <c r="E85" s="62"/>
      <c r="F85" s="62"/>
      <c r="G85" s="62"/>
      <c r="H85" s="62"/>
      <c r="I85" s="3"/>
    </row>
    <row r="86" spans="2:9" ht="31.5" customHeight="1" x14ac:dyDescent="0.3">
      <c r="B86" s="305"/>
      <c r="C86" s="50" t="s">
        <v>18</v>
      </c>
      <c r="D86" s="58"/>
      <c r="E86" s="62">
        <f>92.8+101.6</f>
        <v>194.39999999999998</v>
      </c>
      <c r="F86" s="62">
        <f>471.3-59.3</f>
        <v>412</v>
      </c>
      <c r="G86" s="62">
        <v>412</v>
      </c>
      <c r="H86" s="62">
        <v>412</v>
      </c>
      <c r="I86" s="59"/>
    </row>
    <row r="87" spans="2:9" ht="18" customHeight="1" x14ac:dyDescent="0.3">
      <c r="B87" s="305"/>
      <c r="C87" s="50" t="s">
        <v>21</v>
      </c>
      <c r="D87" s="58"/>
      <c r="E87" s="62">
        <v>395.2</v>
      </c>
      <c r="F87" s="62"/>
      <c r="G87" s="62"/>
      <c r="H87" s="62"/>
      <c r="I87" s="3"/>
    </row>
    <row r="88" spans="2:9" ht="18" customHeight="1" x14ac:dyDescent="0.3">
      <c r="B88" s="300"/>
      <c r="C88" s="50" t="s">
        <v>19</v>
      </c>
      <c r="D88" s="58"/>
      <c r="E88" s="62">
        <f>593.6+1370.6</f>
        <v>1964.1999999999998</v>
      </c>
      <c r="F88" s="62">
        <v>593.6</v>
      </c>
      <c r="G88" s="62">
        <v>593.6</v>
      </c>
      <c r="H88" s="62">
        <v>593.6</v>
      </c>
      <c r="I88" s="3"/>
    </row>
    <row r="89" spans="2:9" ht="55.5" customHeight="1" x14ac:dyDescent="0.3">
      <c r="B89" s="299" t="s">
        <v>80</v>
      </c>
      <c r="C89" s="13" t="s">
        <v>81</v>
      </c>
      <c r="D89" s="58"/>
      <c r="E89" s="62"/>
      <c r="F89" s="62"/>
      <c r="G89" s="62"/>
      <c r="H89" s="62"/>
      <c r="I89" s="3"/>
    </row>
    <row r="90" spans="2:9" ht="29.25" customHeight="1" x14ac:dyDescent="0.3">
      <c r="B90" s="305"/>
      <c r="C90" s="50" t="s">
        <v>18</v>
      </c>
      <c r="D90" s="58"/>
      <c r="E90" s="62">
        <f>132.4-5.7</f>
        <v>126.7</v>
      </c>
      <c r="F90" s="62">
        <f>107.5+21.3</f>
        <v>128.80000000000001</v>
      </c>
      <c r="G90" s="62">
        <v>128.80000000000001</v>
      </c>
      <c r="H90" s="62">
        <v>128.80000000000001</v>
      </c>
      <c r="I90" s="3"/>
    </row>
    <row r="91" spans="2:9" ht="19.2" customHeight="1" x14ac:dyDescent="0.3">
      <c r="B91" s="305"/>
      <c r="C91" s="50" t="s">
        <v>19</v>
      </c>
      <c r="D91" s="58"/>
      <c r="E91" s="62">
        <v>5</v>
      </c>
      <c r="F91" s="62">
        <v>5</v>
      </c>
      <c r="G91" s="62">
        <v>5</v>
      </c>
      <c r="H91" s="62">
        <v>5</v>
      </c>
      <c r="I91" s="3"/>
    </row>
    <row r="92" spans="2:9" ht="29.25" customHeight="1" x14ac:dyDescent="0.3">
      <c r="B92" s="323" t="s">
        <v>82</v>
      </c>
      <c r="C92" s="13" t="s">
        <v>83</v>
      </c>
      <c r="D92" s="58"/>
      <c r="E92" s="63"/>
      <c r="F92" s="63"/>
      <c r="G92" s="63"/>
      <c r="H92" s="63"/>
      <c r="I92" s="61"/>
    </row>
    <row r="93" spans="2:9" ht="20.25" customHeight="1" x14ac:dyDescent="0.3">
      <c r="B93" s="300"/>
      <c r="C93" s="50" t="s">
        <v>19</v>
      </c>
      <c r="D93" s="85"/>
      <c r="E93" s="62">
        <v>137</v>
      </c>
      <c r="F93" s="62">
        <v>135</v>
      </c>
      <c r="G93" s="62">
        <v>135</v>
      </c>
      <c r="H93" s="62">
        <v>135</v>
      </c>
      <c r="I93" s="3"/>
    </row>
    <row r="94" spans="2:9" ht="20.25" customHeight="1" x14ac:dyDescent="0.3">
      <c r="B94" s="323" t="s">
        <v>84</v>
      </c>
      <c r="C94" s="8" t="s">
        <v>85</v>
      </c>
      <c r="D94" s="301" t="s">
        <v>16</v>
      </c>
      <c r="E94" s="62"/>
      <c r="F94" s="62"/>
      <c r="G94" s="62"/>
      <c r="H94" s="67"/>
      <c r="I94" s="3"/>
    </row>
    <row r="95" spans="2:9" ht="33" customHeight="1" x14ac:dyDescent="0.3">
      <c r="B95" s="300"/>
      <c r="C95" s="71" t="s">
        <v>18</v>
      </c>
      <c r="D95" s="364"/>
      <c r="E95" s="62">
        <f>632.2-54</f>
        <v>578.20000000000005</v>
      </c>
      <c r="F95" s="62">
        <v>588.9</v>
      </c>
      <c r="G95" s="62">
        <v>588.9</v>
      </c>
      <c r="H95" s="67">
        <v>588.9</v>
      </c>
      <c r="I95" s="3"/>
    </row>
    <row r="96" spans="2:9" ht="30.75" customHeight="1" x14ac:dyDescent="0.3">
      <c r="B96" s="323" t="s">
        <v>86</v>
      </c>
      <c r="C96" s="8" t="s">
        <v>87</v>
      </c>
      <c r="D96" s="301" t="s">
        <v>52</v>
      </c>
      <c r="E96" s="67"/>
      <c r="F96" s="67"/>
      <c r="G96" s="67"/>
      <c r="H96" s="67"/>
      <c r="I96" s="3"/>
    </row>
    <row r="97" spans="1:9" ht="27.75" customHeight="1" x14ac:dyDescent="0.3">
      <c r="B97" s="305"/>
      <c r="C97" s="71" t="s">
        <v>18</v>
      </c>
      <c r="D97" s="302"/>
      <c r="E97" s="62">
        <v>48.8</v>
      </c>
      <c r="F97" s="62">
        <v>78</v>
      </c>
      <c r="G97" s="62">
        <v>56.2</v>
      </c>
      <c r="H97" s="62">
        <v>56.2</v>
      </c>
      <c r="I97" s="3"/>
    </row>
    <row r="98" spans="1:9" ht="28.5" customHeight="1" x14ac:dyDescent="0.3">
      <c r="B98" s="368" t="s">
        <v>88</v>
      </c>
      <c r="C98" s="198" t="s">
        <v>89</v>
      </c>
      <c r="D98" s="303" t="s">
        <v>90</v>
      </c>
      <c r="E98" s="62"/>
      <c r="F98" s="62"/>
      <c r="G98" s="62"/>
      <c r="H98" s="62"/>
      <c r="I98" s="21" t="s">
        <v>67</v>
      </c>
    </row>
    <row r="99" spans="1:9" ht="30.75" customHeight="1" x14ac:dyDescent="0.3">
      <c r="B99" s="369"/>
      <c r="C99" s="393" t="s">
        <v>18</v>
      </c>
      <c r="D99" s="374"/>
      <c r="E99" s="62">
        <f>455.7+2.2</f>
        <v>457.9</v>
      </c>
      <c r="F99" s="62">
        <f>282.2+62.6</f>
        <v>344.8</v>
      </c>
      <c r="G99" s="62">
        <f>282.2+62.6</f>
        <v>344.8</v>
      </c>
      <c r="H99" s="62">
        <v>344.8</v>
      </c>
      <c r="I99" s="59"/>
    </row>
    <row r="100" spans="1:9" ht="21" customHeight="1" x14ac:dyDescent="0.3">
      <c r="B100" s="369"/>
      <c r="C100" s="393" t="s">
        <v>19</v>
      </c>
      <c r="D100" s="304"/>
      <c r="E100" s="62">
        <f>5.1+64.8</f>
        <v>69.899999999999991</v>
      </c>
      <c r="F100" s="62"/>
      <c r="G100" s="62"/>
      <c r="H100" s="62"/>
      <c r="I100" s="59"/>
    </row>
    <row r="101" spans="1:9" ht="30" customHeight="1" x14ac:dyDescent="0.3">
      <c r="B101" s="368" t="s">
        <v>91</v>
      </c>
      <c r="C101" s="260" t="s">
        <v>92</v>
      </c>
      <c r="D101" s="301" t="s">
        <v>93</v>
      </c>
      <c r="E101" s="68"/>
      <c r="F101" s="68"/>
      <c r="G101" s="68"/>
      <c r="H101" s="68"/>
      <c r="I101" s="3"/>
    </row>
    <row r="102" spans="1:9" ht="30" customHeight="1" x14ac:dyDescent="0.3">
      <c r="B102" s="369"/>
      <c r="C102" s="199" t="s">
        <v>18</v>
      </c>
      <c r="D102" s="302"/>
      <c r="E102" s="62">
        <f>75-35</f>
        <v>40</v>
      </c>
      <c r="F102" s="62">
        <v>66</v>
      </c>
      <c r="G102" s="62">
        <v>66</v>
      </c>
      <c r="H102" s="62">
        <v>66</v>
      </c>
      <c r="I102" s="3"/>
    </row>
    <row r="103" spans="1:9" ht="30" customHeight="1" x14ac:dyDescent="0.3">
      <c r="B103" s="310"/>
      <c r="C103" s="216" t="s">
        <v>94</v>
      </c>
      <c r="D103" s="301" t="s">
        <v>95</v>
      </c>
      <c r="E103" s="62"/>
      <c r="F103" s="62"/>
      <c r="G103" s="62"/>
      <c r="H103" s="62"/>
      <c r="I103" s="3"/>
    </row>
    <row r="104" spans="1:9" ht="82.5" customHeight="1" x14ac:dyDescent="0.3">
      <c r="B104" s="311"/>
      <c r="C104" s="60" t="s">
        <v>96</v>
      </c>
      <c r="D104" s="302"/>
      <c r="E104" s="95">
        <f>18.4-0.3</f>
        <v>18.099999999999998</v>
      </c>
      <c r="F104" s="157"/>
      <c r="G104" s="69"/>
      <c r="H104" s="69"/>
      <c r="I104" s="3"/>
    </row>
    <row r="105" spans="1:9" ht="42.6" customHeight="1" x14ac:dyDescent="0.3">
      <c r="B105" s="305" t="s">
        <v>97</v>
      </c>
      <c r="C105" s="198" t="s">
        <v>98</v>
      </c>
      <c r="D105" s="301" t="s">
        <v>52</v>
      </c>
      <c r="E105" s="95"/>
      <c r="F105" s="69"/>
      <c r="G105" s="69"/>
      <c r="H105" s="69"/>
      <c r="I105" s="61" t="s">
        <v>99</v>
      </c>
    </row>
    <row r="106" spans="1:9" ht="27.75" customHeight="1" x14ac:dyDescent="0.3">
      <c r="B106" s="305"/>
      <c r="C106" s="394" t="s">
        <v>18</v>
      </c>
      <c r="D106" s="364"/>
      <c r="E106" s="81">
        <f>15+49.8</f>
        <v>64.8</v>
      </c>
      <c r="F106" s="81">
        <v>70.599999999999994</v>
      </c>
      <c r="G106" s="81">
        <v>70.599999999999994</v>
      </c>
      <c r="H106" s="81">
        <v>70.599999999999994</v>
      </c>
      <c r="I106" s="76"/>
    </row>
    <row r="107" spans="1:9" ht="40.5" customHeight="1" x14ac:dyDescent="0.3">
      <c r="B107" s="367"/>
      <c r="C107" s="395" t="s">
        <v>100</v>
      </c>
      <c r="D107" s="396" t="s">
        <v>52</v>
      </c>
      <c r="E107" s="397"/>
      <c r="F107" s="184"/>
      <c r="G107" s="184"/>
      <c r="H107" s="184"/>
      <c r="I107" s="77"/>
    </row>
    <row r="108" spans="1:9" ht="21" customHeight="1" x14ac:dyDescent="0.3">
      <c r="B108" s="368"/>
      <c r="C108" s="398" t="s">
        <v>96</v>
      </c>
      <c r="D108" s="396"/>
      <c r="E108" s="397">
        <v>1.5</v>
      </c>
      <c r="F108" s="184"/>
      <c r="G108" s="184"/>
      <c r="H108" s="184"/>
      <c r="I108" s="77"/>
    </row>
    <row r="109" spans="1:9" ht="17.25" customHeight="1" x14ac:dyDescent="0.3">
      <c r="A109" s="183"/>
      <c r="B109" s="367" t="s">
        <v>101</v>
      </c>
      <c r="C109" s="399" t="s">
        <v>102</v>
      </c>
      <c r="D109" s="370" t="s">
        <v>47</v>
      </c>
      <c r="E109" s="237" t="s">
        <v>103</v>
      </c>
      <c r="F109" s="238"/>
      <c r="G109" s="239" t="s">
        <v>103</v>
      </c>
      <c r="H109" s="239" t="s">
        <v>103</v>
      </c>
      <c r="I109" s="240" t="s">
        <v>103</v>
      </c>
    </row>
    <row r="110" spans="1:9" ht="30" customHeight="1" x14ac:dyDescent="0.3">
      <c r="A110" s="183"/>
      <c r="B110" s="367"/>
      <c r="C110" s="400" t="s">
        <v>18</v>
      </c>
      <c r="D110" s="370"/>
      <c r="E110" s="241">
        <v>5.7</v>
      </c>
      <c r="F110" s="242">
        <v>81</v>
      </c>
      <c r="G110" s="242">
        <v>78</v>
      </c>
      <c r="H110" s="242">
        <v>71</v>
      </c>
      <c r="I110" s="240" t="s">
        <v>103</v>
      </c>
    </row>
    <row r="111" spans="1:9" ht="19.2" customHeight="1" x14ac:dyDescent="0.3">
      <c r="A111" s="183"/>
      <c r="B111" s="367"/>
      <c r="C111" s="400" t="s">
        <v>33</v>
      </c>
      <c r="D111" s="243" t="s">
        <v>103</v>
      </c>
      <c r="E111" s="244" t="s">
        <v>103</v>
      </c>
      <c r="F111" s="245">
        <v>791.7</v>
      </c>
      <c r="G111" s="245">
        <v>764</v>
      </c>
      <c r="H111" s="245">
        <v>699.6</v>
      </c>
      <c r="I111" s="240" t="s">
        <v>103</v>
      </c>
    </row>
    <row r="112" spans="1:9" ht="43.2" customHeight="1" x14ac:dyDescent="0.3">
      <c r="A112" s="183"/>
      <c r="B112" s="368" t="s">
        <v>104</v>
      </c>
      <c r="C112" s="399" t="s">
        <v>105</v>
      </c>
      <c r="D112" s="401" t="s">
        <v>52</v>
      </c>
      <c r="E112" s="246"/>
      <c r="F112" s="247"/>
      <c r="G112" s="247"/>
      <c r="H112" s="247"/>
      <c r="I112" s="240"/>
    </row>
    <row r="113" spans="1:9" ht="27.75" customHeight="1" x14ac:dyDescent="0.3">
      <c r="A113" s="183"/>
      <c r="B113" s="371"/>
      <c r="C113" s="402" t="s">
        <v>45</v>
      </c>
      <c r="D113" s="403"/>
      <c r="E113" s="248">
        <v>52.8</v>
      </c>
      <c r="F113" s="247">
        <v>345.2</v>
      </c>
      <c r="G113" s="247">
        <v>345.2</v>
      </c>
      <c r="H113" s="247"/>
      <c r="I113" s="240"/>
    </row>
    <row r="114" spans="1:9" ht="21.6" customHeight="1" x14ac:dyDescent="0.3">
      <c r="B114" s="20"/>
      <c r="C114" s="116" t="s">
        <v>106</v>
      </c>
      <c r="D114" s="92"/>
      <c r="E114" s="185">
        <f>SUM(E115:E120)</f>
        <v>170206.69999999998</v>
      </c>
      <c r="F114" s="185">
        <f>SUM(F115:F120)</f>
        <v>180266</v>
      </c>
      <c r="G114" s="185">
        <f>SUM(G115:G120)</f>
        <v>173168.9</v>
      </c>
      <c r="H114" s="185">
        <f>SUM(H115:H120)</f>
        <v>169341.9</v>
      </c>
      <c r="I114" s="7"/>
    </row>
    <row r="115" spans="1:9" ht="20.25" customHeight="1" x14ac:dyDescent="0.3">
      <c r="B115" s="315"/>
      <c r="C115" s="8" t="s">
        <v>107</v>
      </c>
      <c r="D115" s="15"/>
      <c r="E115" s="3"/>
      <c r="F115" s="3"/>
      <c r="G115" s="3"/>
      <c r="H115" s="3"/>
      <c r="I115" s="3"/>
    </row>
    <row r="116" spans="1:9" ht="30" customHeight="1" x14ac:dyDescent="0.3">
      <c r="B116" s="316"/>
      <c r="C116" s="8" t="s">
        <v>108</v>
      </c>
      <c r="D116" s="15"/>
      <c r="E116" s="3">
        <f>SUMIF(C7:C113,C8,E7:E113)</f>
        <v>66938.199999999983</v>
      </c>
      <c r="F116" s="3">
        <f>SUMIF(C7:C113,C8,F7:F113)</f>
        <v>72712.400000000009</v>
      </c>
      <c r="G116" s="3">
        <f>SUMIF(C7:C113,C8,G7:G113)</f>
        <v>72335.600000000006</v>
      </c>
      <c r="H116" s="3">
        <f>SUMIF(C7:C113,C8,H7:H113)</f>
        <v>71281</v>
      </c>
      <c r="I116" s="3"/>
    </row>
    <row r="117" spans="1:9" ht="19.95" customHeight="1" x14ac:dyDescent="0.3">
      <c r="B117" s="316"/>
      <c r="C117" s="8" t="s">
        <v>109</v>
      </c>
      <c r="D117" s="15"/>
      <c r="E117" s="3">
        <f>SUMIF(C7:C113,C9,E7:E113)</f>
        <v>91875</v>
      </c>
      <c r="F117" s="3">
        <f>SUMIF(C7:C113,C9,F7:F113)</f>
        <v>91466.6</v>
      </c>
      <c r="G117" s="3">
        <f>SUMIF(C7:C113,C9,G7:G113)</f>
        <v>90400.6</v>
      </c>
      <c r="H117" s="3">
        <f>SUMIF(C7:C113,C9,H7:H113)</f>
        <v>89991.6</v>
      </c>
      <c r="I117" s="3"/>
    </row>
    <row r="118" spans="1:9" ht="26.4" customHeight="1" x14ac:dyDescent="0.3">
      <c r="B118" s="316"/>
      <c r="C118" s="8" t="s">
        <v>110</v>
      </c>
      <c r="D118" s="15"/>
      <c r="E118" s="3">
        <f>SUMIF(C7:C113,C45,E7:E113)</f>
        <v>2345</v>
      </c>
      <c r="F118" s="3">
        <f>SUMIF(C7:C113,C45,F7:F113)</f>
        <v>8017.6999999999989</v>
      </c>
      <c r="G118" s="3">
        <f>SUMIF(C7:C113,C45,G7:G113)</f>
        <v>2363.3999999999996</v>
      </c>
      <c r="H118" s="3">
        <f>SUMIF(C7:C113,C45,H7:H113)</f>
        <v>0</v>
      </c>
      <c r="I118" s="3"/>
    </row>
    <row r="119" spans="1:9" ht="20.25" customHeight="1" x14ac:dyDescent="0.3">
      <c r="B119" s="316"/>
      <c r="C119" s="8" t="s">
        <v>111</v>
      </c>
      <c r="D119" s="15"/>
      <c r="E119" s="3">
        <f>SUMIF(C7:C113,C10,E7:E113)</f>
        <v>8037.8</v>
      </c>
      <c r="F119" s="3">
        <f>SUMIF(C7:C113,C10,F7:F113)</f>
        <v>8069.3</v>
      </c>
      <c r="G119" s="3">
        <f>SUMIF(C7:C113,C10,G7:G113)</f>
        <v>8069.3</v>
      </c>
      <c r="H119" s="3">
        <f>SUMIF(C7:C113,C10,H7:H113)</f>
        <v>8069.3</v>
      </c>
      <c r="I119" s="3"/>
    </row>
    <row r="120" spans="1:9" ht="20.25" customHeight="1" x14ac:dyDescent="0.3">
      <c r="B120" s="317"/>
      <c r="C120" s="8" t="s">
        <v>112</v>
      </c>
      <c r="D120" s="15"/>
      <c r="E120" s="3">
        <f>SUMIF(C7:C113,C11,E7:E113)</f>
        <v>1010.7</v>
      </c>
      <c r="F120" s="3">
        <f>SUMIF(C7:C113,C11,F7:F113)</f>
        <v>0</v>
      </c>
      <c r="G120" s="3">
        <f>SUMIF(C7:C113,C11,G7:G113)</f>
        <v>0</v>
      </c>
      <c r="H120" s="3">
        <f>SUMIF(C7:C113,C11,H7:H113)</f>
        <v>0</v>
      </c>
      <c r="I120" s="3"/>
    </row>
    <row r="121" spans="1:9" ht="18.75" customHeight="1" x14ac:dyDescent="0.3">
      <c r="B121" s="20"/>
      <c r="C121" s="6" t="s">
        <v>113</v>
      </c>
      <c r="D121" s="14"/>
      <c r="E121" s="7">
        <f>SUM(E123:E124)</f>
        <v>115.6</v>
      </c>
      <c r="F121" s="7">
        <f t="shared" ref="F121:H121" si="1">F124</f>
        <v>791.7</v>
      </c>
      <c r="G121" s="7">
        <f t="shared" si="1"/>
        <v>764</v>
      </c>
      <c r="H121" s="7">
        <f t="shared" si="1"/>
        <v>699.6</v>
      </c>
      <c r="I121" s="7"/>
    </row>
    <row r="122" spans="1:9" ht="18.75" customHeight="1" x14ac:dyDescent="0.3">
      <c r="B122" s="315"/>
      <c r="C122" s="8" t="s">
        <v>114</v>
      </c>
      <c r="D122" s="15"/>
      <c r="E122" s="3"/>
      <c r="F122" s="3"/>
      <c r="G122" s="3"/>
      <c r="H122" s="3"/>
      <c r="I122" s="3"/>
    </row>
    <row r="123" spans="1:9" ht="20.25" customHeight="1" x14ac:dyDescent="0.3">
      <c r="B123" s="316"/>
      <c r="C123" s="8" t="s">
        <v>115</v>
      </c>
      <c r="D123" s="15"/>
      <c r="E123" s="3">
        <f>SUMIF(C7:C113,C104,E7:E113)</f>
        <v>19.599999999999998</v>
      </c>
      <c r="F123" s="3">
        <f>SUMIF(C7:C113,C104,F7:F113)</f>
        <v>0</v>
      </c>
      <c r="G123" s="3">
        <f>SUMIF(C7:C113,C104,G7:G113)</f>
        <v>0</v>
      </c>
      <c r="H123" s="3">
        <f>SUMIF(C7:C113,C104,H7:H113)</f>
        <v>0</v>
      </c>
      <c r="I123" s="3"/>
    </row>
    <row r="124" spans="1:9" ht="20.25" customHeight="1" x14ac:dyDescent="0.3">
      <c r="B124" s="317"/>
      <c r="C124" s="8" t="s">
        <v>116</v>
      </c>
      <c r="D124" s="15"/>
      <c r="E124" s="3">
        <f>SUMIF(C7:C113,C30,E7:E113)</f>
        <v>96</v>
      </c>
      <c r="F124" s="3">
        <f>SUMIF(C7:C113,C30,F7:F113)</f>
        <v>791.7</v>
      </c>
      <c r="G124" s="3">
        <f>SUMIF(C7:C113,C30,G7:G113)</f>
        <v>764</v>
      </c>
      <c r="H124" s="3">
        <f>SUMIF(C7:C113,C30,H7:H113)</f>
        <v>699.6</v>
      </c>
      <c r="I124" s="3"/>
    </row>
    <row r="125" spans="1:9" ht="33.6" customHeight="1" x14ac:dyDescent="0.3">
      <c r="B125" s="82" t="s">
        <v>117</v>
      </c>
      <c r="C125" s="39" t="s">
        <v>118</v>
      </c>
      <c r="D125" s="40"/>
      <c r="E125" s="83"/>
      <c r="F125" s="83"/>
      <c r="G125" s="83"/>
      <c r="H125" s="83"/>
      <c r="I125" s="42"/>
    </row>
    <row r="126" spans="1:9" ht="22.2" customHeight="1" x14ac:dyDescent="0.3">
      <c r="B126" s="84" t="s">
        <v>119</v>
      </c>
      <c r="C126" s="13" t="s">
        <v>120</v>
      </c>
      <c r="D126" s="320" t="s">
        <v>355</v>
      </c>
      <c r="E126" s="2"/>
      <c r="F126" s="2"/>
      <c r="G126" s="2"/>
      <c r="H126" s="2"/>
      <c r="I126" s="21"/>
    </row>
    <row r="127" spans="1:9" ht="31.5" customHeight="1" x14ac:dyDescent="0.3">
      <c r="B127" s="85"/>
      <c r="C127" s="71" t="s">
        <v>19</v>
      </c>
      <c r="D127" s="321"/>
      <c r="E127" s="2">
        <v>348.5</v>
      </c>
      <c r="F127" s="2">
        <v>348.5</v>
      </c>
      <c r="G127" s="2">
        <v>348.5</v>
      </c>
      <c r="H127" s="2">
        <v>348.5</v>
      </c>
      <c r="I127" s="21"/>
    </row>
    <row r="128" spans="1:9" ht="16.95" customHeight="1" x14ac:dyDescent="0.3">
      <c r="B128" s="312" t="s">
        <v>121</v>
      </c>
      <c r="C128" s="13" t="s">
        <v>122</v>
      </c>
      <c r="D128" s="320" t="s">
        <v>52</v>
      </c>
      <c r="E128" s="2"/>
      <c r="F128" s="2"/>
      <c r="G128" s="2"/>
      <c r="H128" s="2"/>
      <c r="I128" s="21" t="s">
        <v>123</v>
      </c>
    </row>
    <row r="129" spans="2:9" ht="16.5" customHeight="1" x14ac:dyDescent="0.3">
      <c r="B129" s="313"/>
      <c r="C129" s="50" t="s">
        <v>21</v>
      </c>
      <c r="D129" s="321"/>
      <c r="E129" s="2">
        <f>300-8</f>
        <v>292</v>
      </c>
      <c r="F129" s="2"/>
      <c r="G129" s="2"/>
      <c r="H129" s="2"/>
      <c r="I129" s="21"/>
    </row>
    <row r="130" spans="2:9" ht="28.5" customHeight="1" x14ac:dyDescent="0.3">
      <c r="B130" s="314"/>
      <c r="C130" s="50" t="s">
        <v>18</v>
      </c>
      <c r="D130" s="321"/>
      <c r="E130" s="2"/>
      <c r="F130" s="2">
        <v>400</v>
      </c>
      <c r="G130" s="2">
        <v>500</v>
      </c>
      <c r="H130" s="2">
        <v>500</v>
      </c>
      <c r="I130" s="21"/>
    </row>
    <row r="131" spans="2:9" ht="43.2" customHeight="1" x14ac:dyDescent="0.3">
      <c r="B131" s="312" t="s">
        <v>124</v>
      </c>
      <c r="C131" s="13" t="s">
        <v>125</v>
      </c>
      <c r="D131" s="321"/>
      <c r="E131" s="2"/>
      <c r="F131" s="2"/>
      <c r="G131" s="2"/>
      <c r="H131" s="2"/>
      <c r="I131" s="21" t="s">
        <v>126</v>
      </c>
    </row>
    <row r="132" spans="2:9" ht="19.2" customHeight="1" x14ac:dyDescent="0.3">
      <c r="B132" s="314"/>
      <c r="C132" s="50" t="s">
        <v>19</v>
      </c>
      <c r="D132" s="322"/>
      <c r="E132" s="2">
        <v>1352</v>
      </c>
      <c r="F132" s="2">
        <v>1352</v>
      </c>
      <c r="G132" s="2">
        <v>1352</v>
      </c>
      <c r="H132" s="2">
        <v>1352</v>
      </c>
      <c r="I132" s="21"/>
    </row>
    <row r="133" spans="2:9" ht="19.5" customHeight="1" x14ac:dyDescent="0.3">
      <c r="B133" s="86"/>
      <c r="C133" s="6" t="s">
        <v>106</v>
      </c>
      <c r="D133" s="14"/>
      <c r="E133" s="7">
        <f>SUM(E135:E137)</f>
        <v>1992.5</v>
      </c>
      <c r="F133" s="7">
        <f t="shared" ref="F133:H133" ca="1" si="2">SUM(F135:F137)</f>
        <v>2100.5</v>
      </c>
      <c r="G133" s="7">
        <f t="shared" ca="1" si="2"/>
        <v>2200.5</v>
      </c>
      <c r="H133" s="7">
        <f t="shared" ca="1" si="2"/>
        <v>2200.5</v>
      </c>
      <c r="I133" s="7"/>
    </row>
    <row r="134" spans="2:9" ht="15.6" customHeight="1" x14ac:dyDescent="0.3">
      <c r="B134" s="299"/>
      <c r="C134" s="8" t="s">
        <v>107</v>
      </c>
      <c r="D134" s="15"/>
      <c r="E134" s="72"/>
      <c r="F134" s="72"/>
      <c r="G134" s="72"/>
      <c r="H134" s="72"/>
      <c r="I134" s="72"/>
    </row>
    <row r="135" spans="2:9" ht="30" customHeight="1" x14ac:dyDescent="0.3">
      <c r="B135" s="305"/>
      <c r="C135" s="8" t="s">
        <v>108</v>
      </c>
      <c r="D135" s="15"/>
      <c r="E135" s="11">
        <f>SUMIF($C126:C132,$C130,E126:E132)</f>
        <v>0</v>
      </c>
      <c r="F135" s="11">
        <f ca="1">SUMIF($C126:D132,$C130,F126:F132)</f>
        <v>400</v>
      </c>
      <c r="G135" s="11">
        <f ca="1">SUMIF($C126:E132,$C130,G126:G132)</f>
        <v>500</v>
      </c>
      <c r="H135" s="11">
        <f ca="1">SUMIF($C126:F132,$C130,H126:H132)</f>
        <v>500</v>
      </c>
      <c r="I135" s="72"/>
    </row>
    <row r="136" spans="2:9" ht="19.95" customHeight="1" x14ac:dyDescent="0.3">
      <c r="B136" s="305"/>
      <c r="C136" s="8" t="s">
        <v>112</v>
      </c>
      <c r="D136" s="15"/>
      <c r="E136" s="11">
        <f>SUMIF(C126:C132,C129,E126:E132)</f>
        <v>292</v>
      </c>
      <c r="F136" s="11">
        <f>SUMIF(C126:C132,C129,F126:F132)</f>
        <v>0</v>
      </c>
      <c r="G136" s="11">
        <f>SUMIF(C126:C132,C129,G126:G132)</f>
        <v>0</v>
      </c>
      <c r="H136" s="11">
        <f>SUMIF(C126:C132,C129,H126:H132)</f>
        <v>0</v>
      </c>
      <c r="I136" s="72"/>
    </row>
    <row r="137" spans="2:9" ht="16.2" customHeight="1" x14ac:dyDescent="0.3">
      <c r="B137" s="300"/>
      <c r="C137" s="8" t="s">
        <v>109</v>
      </c>
      <c r="D137" s="15"/>
      <c r="E137" s="11">
        <f>SUMIF(C126:C132,C127,E126:E132)</f>
        <v>1700.5</v>
      </c>
      <c r="F137" s="11">
        <f>SUMIF(C126:C132,C127,F126:F132)</f>
        <v>1700.5</v>
      </c>
      <c r="G137" s="11">
        <f>SUMIF(C126:C132,C127,G126:G132)</f>
        <v>1700.5</v>
      </c>
      <c r="H137" s="11">
        <f>SUMIF(C126:C132,C127,H126:H132)</f>
        <v>1700.5</v>
      </c>
      <c r="I137" s="3"/>
    </row>
    <row r="138" spans="2:9" s="74" customFormat="1" ht="31.2" customHeight="1" x14ac:dyDescent="0.3">
      <c r="B138" s="82" t="s">
        <v>127</v>
      </c>
      <c r="C138" s="39" t="s">
        <v>128</v>
      </c>
      <c r="D138" s="40" t="s">
        <v>129</v>
      </c>
      <c r="E138" s="41"/>
      <c r="F138" s="41"/>
      <c r="G138" s="41"/>
      <c r="H138" s="41"/>
      <c r="I138" s="41"/>
    </row>
    <row r="139" spans="2:9" ht="16.95" customHeight="1" x14ac:dyDescent="0.3">
      <c r="B139" s="86"/>
      <c r="C139" s="6" t="s">
        <v>106</v>
      </c>
      <c r="D139" s="87"/>
      <c r="E139" s="7">
        <f>SUM(E141:E141)</f>
        <v>3.9</v>
      </c>
      <c r="F139" s="7">
        <f t="shared" ref="F139:H139" si="3">SUM(F141:F141)</f>
        <v>3.9</v>
      </c>
      <c r="G139" s="7">
        <f t="shared" si="3"/>
        <v>3.9</v>
      </c>
      <c r="H139" s="7">
        <f t="shared" si="3"/>
        <v>3.9</v>
      </c>
      <c r="I139" s="7"/>
    </row>
    <row r="140" spans="2:9" ht="14.4" customHeight="1" x14ac:dyDescent="0.3">
      <c r="B140" s="308"/>
      <c r="C140" s="8" t="s">
        <v>107</v>
      </c>
      <c r="D140" s="15"/>
      <c r="E140" s="72"/>
      <c r="F140" s="72"/>
      <c r="G140" s="72"/>
      <c r="H140" s="72"/>
      <c r="I140" s="72"/>
    </row>
    <row r="141" spans="2:9" ht="28.2" customHeight="1" x14ac:dyDescent="0.3">
      <c r="B141" s="308"/>
      <c r="C141" s="8" t="s">
        <v>18</v>
      </c>
      <c r="D141" s="15"/>
      <c r="E141" s="59">
        <v>3.9</v>
      </c>
      <c r="F141" s="59">
        <v>3.9</v>
      </c>
      <c r="G141" s="59">
        <v>3.9</v>
      </c>
      <c r="H141" s="59">
        <v>3.9</v>
      </c>
      <c r="I141" s="72"/>
    </row>
    <row r="142" spans="2:9" ht="54.75" customHeight="1" x14ac:dyDescent="0.3">
      <c r="B142" s="82" t="s">
        <v>130</v>
      </c>
      <c r="C142" s="39" t="s">
        <v>131</v>
      </c>
      <c r="D142" s="40" t="s">
        <v>16</v>
      </c>
      <c r="E142" s="41"/>
      <c r="F142" s="41"/>
      <c r="G142" s="41"/>
      <c r="H142" s="41"/>
      <c r="I142" s="41"/>
    </row>
    <row r="143" spans="2:9" ht="14.4" customHeight="1" x14ac:dyDescent="0.3">
      <c r="B143" s="88"/>
      <c r="C143" s="6" t="s">
        <v>106</v>
      </c>
      <c r="D143" s="87"/>
      <c r="E143" s="7">
        <f>+E145</f>
        <v>62.5</v>
      </c>
      <c r="F143" s="7">
        <f t="shared" ref="F143:H143" si="4">+F145</f>
        <v>66</v>
      </c>
      <c r="G143" s="7">
        <f t="shared" si="4"/>
        <v>66</v>
      </c>
      <c r="H143" s="7">
        <f t="shared" si="4"/>
        <v>66</v>
      </c>
      <c r="I143" s="7"/>
    </row>
    <row r="144" spans="2:9" ht="14.4" customHeight="1" x14ac:dyDescent="0.3">
      <c r="B144" s="309"/>
      <c r="C144" s="8" t="s">
        <v>107</v>
      </c>
      <c r="D144" s="15"/>
      <c r="E144" s="72"/>
      <c r="F144" s="72"/>
      <c r="G144" s="72"/>
      <c r="H144" s="72"/>
      <c r="I144" s="72"/>
    </row>
    <row r="145" spans="2:9" ht="29.4" customHeight="1" x14ac:dyDescent="0.3">
      <c r="B145" s="309"/>
      <c r="C145" s="8" t="s">
        <v>18</v>
      </c>
      <c r="D145" s="15"/>
      <c r="E145" s="3">
        <v>62.5</v>
      </c>
      <c r="F145" s="59">
        <v>66</v>
      </c>
      <c r="G145" s="59">
        <v>66</v>
      </c>
      <c r="H145" s="59">
        <v>66</v>
      </c>
      <c r="I145" s="72"/>
    </row>
    <row r="146" spans="2:9" s="74" customFormat="1" ht="44.4" customHeight="1" x14ac:dyDescent="0.3">
      <c r="B146" s="82" t="s">
        <v>132</v>
      </c>
      <c r="C146" s="39" t="s">
        <v>133</v>
      </c>
      <c r="D146" s="40" t="s">
        <v>93</v>
      </c>
      <c r="E146" s="41"/>
      <c r="F146" s="41"/>
      <c r="G146" s="41"/>
      <c r="H146" s="41"/>
      <c r="I146" s="42"/>
    </row>
    <row r="147" spans="2:9" ht="18" customHeight="1" x14ac:dyDescent="0.3">
      <c r="B147" s="88"/>
      <c r="C147" s="6" t="s">
        <v>106</v>
      </c>
      <c r="D147" s="87"/>
      <c r="E147" s="7">
        <f>+E149</f>
        <v>4.4000000000000004</v>
      </c>
      <c r="F147" s="7">
        <f t="shared" ref="F147:H147" si="5">+F149</f>
        <v>4.4000000000000004</v>
      </c>
      <c r="G147" s="7">
        <f t="shared" si="5"/>
        <v>4.4000000000000004</v>
      </c>
      <c r="H147" s="7">
        <f t="shared" si="5"/>
        <v>4.4000000000000004</v>
      </c>
      <c r="I147" s="7"/>
    </row>
    <row r="148" spans="2:9" ht="14.4" customHeight="1" x14ac:dyDescent="0.3">
      <c r="B148" s="309"/>
      <c r="C148" s="8" t="s">
        <v>107</v>
      </c>
      <c r="D148" s="15"/>
      <c r="E148" s="72"/>
      <c r="F148" s="72"/>
      <c r="G148" s="72"/>
      <c r="H148" s="72"/>
      <c r="I148" s="72"/>
    </row>
    <row r="149" spans="2:9" ht="29.4" customHeight="1" x14ac:dyDescent="0.3">
      <c r="B149" s="309"/>
      <c r="C149" s="8" t="s">
        <v>18</v>
      </c>
      <c r="D149" s="15"/>
      <c r="E149" s="59">
        <v>4.4000000000000004</v>
      </c>
      <c r="F149" s="59">
        <v>4.4000000000000004</v>
      </c>
      <c r="G149" s="59">
        <v>4.4000000000000004</v>
      </c>
      <c r="H149" s="59">
        <v>4.4000000000000004</v>
      </c>
      <c r="I149" s="72"/>
    </row>
    <row r="150" spans="2:9" ht="33.75" customHeight="1" x14ac:dyDescent="0.3">
      <c r="B150" s="82" t="s">
        <v>134</v>
      </c>
      <c r="C150" s="39" t="s">
        <v>135</v>
      </c>
      <c r="D150" s="40" t="s">
        <v>52</v>
      </c>
      <c r="E150" s="41"/>
      <c r="F150" s="41"/>
      <c r="G150" s="41"/>
      <c r="H150" s="41"/>
      <c r="I150" s="41"/>
    </row>
    <row r="151" spans="2:9" ht="16.95" customHeight="1" x14ac:dyDescent="0.3">
      <c r="B151" s="86"/>
      <c r="C151" s="6" t="s">
        <v>106</v>
      </c>
      <c r="D151" s="87"/>
      <c r="E151" s="7">
        <f>SUM(E153:E153)</f>
        <v>20</v>
      </c>
      <c r="F151" s="7">
        <f t="shared" ref="F151:H151" si="6">SUM(F153:F153)</f>
        <v>19.399999999999999</v>
      </c>
      <c r="G151" s="7">
        <f t="shared" si="6"/>
        <v>19.399999999999999</v>
      </c>
      <c r="H151" s="7">
        <f t="shared" si="6"/>
        <v>20</v>
      </c>
      <c r="I151" s="7"/>
    </row>
    <row r="152" spans="2:9" ht="14.4" customHeight="1" x14ac:dyDescent="0.3">
      <c r="B152" s="308"/>
      <c r="C152" s="8" t="s">
        <v>107</v>
      </c>
      <c r="D152" s="15"/>
      <c r="E152" s="72"/>
      <c r="F152" s="72"/>
      <c r="G152" s="72"/>
      <c r="H152" s="72"/>
      <c r="I152" s="72"/>
    </row>
    <row r="153" spans="2:9" ht="30.6" customHeight="1" x14ac:dyDescent="0.3">
      <c r="B153" s="308"/>
      <c r="C153" s="8" t="s">
        <v>18</v>
      </c>
      <c r="D153" s="15"/>
      <c r="E153" s="3">
        <v>20</v>
      </c>
      <c r="F153" s="59">
        <v>19.399999999999999</v>
      </c>
      <c r="G153" s="3">
        <v>19.399999999999999</v>
      </c>
      <c r="H153" s="3">
        <v>20</v>
      </c>
      <c r="I153" s="72"/>
    </row>
    <row r="154" spans="2:9" ht="45.6" customHeight="1" x14ac:dyDescent="0.3">
      <c r="B154" s="82" t="s">
        <v>136</v>
      </c>
      <c r="C154" s="39" t="s">
        <v>137</v>
      </c>
      <c r="D154" s="40" t="s">
        <v>129</v>
      </c>
      <c r="E154" s="41"/>
      <c r="F154" s="41"/>
      <c r="G154" s="41"/>
      <c r="H154" s="41"/>
      <c r="I154" s="42" t="s">
        <v>138</v>
      </c>
    </row>
    <row r="155" spans="2:9" ht="16.95" customHeight="1" x14ac:dyDescent="0.3">
      <c r="B155" s="223"/>
      <c r="C155" s="6" t="s">
        <v>106</v>
      </c>
      <c r="D155" s="87"/>
      <c r="E155" s="7">
        <f t="shared" ref="E155" si="7">+E157</f>
        <v>5</v>
      </c>
      <c r="F155" s="7">
        <f>+F157+F158</f>
        <v>335.3</v>
      </c>
      <c r="G155" s="7">
        <f>+G157+G158</f>
        <v>439</v>
      </c>
      <c r="H155" s="7">
        <f>+H157+H158</f>
        <v>339</v>
      </c>
      <c r="I155" s="7"/>
    </row>
    <row r="156" spans="2:9" ht="16.95" customHeight="1" x14ac:dyDescent="0.3">
      <c r="B156" s="338"/>
      <c r="C156" s="220" t="s">
        <v>107</v>
      </c>
      <c r="D156" s="168"/>
      <c r="E156" s="121"/>
      <c r="F156" s="121"/>
      <c r="G156" s="121"/>
      <c r="H156" s="121"/>
      <c r="I156" s="121"/>
    </row>
    <row r="157" spans="2:9" ht="30.6" customHeight="1" x14ac:dyDescent="0.3">
      <c r="B157" s="338"/>
      <c r="C157" s="221" t="s">
        <v>18</v>
      </c>
      <c r="D157" s="217"/>
      <c r="E157" s="218">
        <v>5</v>
      </c>
      <c r="F157" s="218">
        <v>35.299999999999997</v>
      </c>
      <c r="G157" s="218">
        <v>39</v>
      </c>
      <c r="H157" s="218">
        <v>39</v>
      </c>
      <c r="I157" s="219"/>
    </row>
    <row r="158" spans="2:9" ht="30.6" customHeight="1" x14ac:dyDescent="0.3">
      <c r="B158" s="338"/>
      <c r="C158" s="222" t="s">
        <v>45</v>
      </c>
      <c r="D158" s="217"/>
      <c r="E158" s="218"/>
      <c r="F158" s="218">
        <v>300</v>
      </c>
      <c r="G158" s="218">
        <v>400</v>
      </c>
      <c r="H158" s="218">
        <v>300</v>
      </c>
      <c r="I158" s="219"/>
    </row>
    <row r="159" spans="2:9" ht="55.5" customHeight="1" x14ac:dyDescent="0.3">
      <c r="B159" s="404" t="s">
        <v>139</v>
      </c>
      <c r="C159" s="405" t="s">
        <v>140</v>
      </c>
      <c r="D159" s="40" t="s">
        <v>16</v>
      </c>
      <c r="E159" s="193"/>
      <c r="F159" s="193"/>
      <c r="G159" s="193"/>
      <c r="H159" s="193"/>
      <c r="I159" s="171"/>
    </row>
    <row r="160" spans="2:9" ht="22.5" customHeight="1" x14ac:dyDescent="0.3">
      <c r="B160" s="172"/>
      <c r="C160" s="173" t="s">
        <v>106</v>
      </c>
      <c r="D160" s="174"/>
      <c r="E160" s="175">
        <v>0</v>
      </c>
      <c r="F160" s="175">
        <f>SUM(F162:F162)</f>
        <v>15</v>
      </c>
      <c r="G160" s="175">
        <f>SUM(G162:G162)</f>
        <v>15</v>
      </c>
      <c r="H160" s="175">
        <f>SUM(H162:H162)</f>
        <v>15</v>
      </c>
      <c r="I160" s="175"/>
    </row>
    <row r="161" spans="2:9" ht="20.25" customHeight="1" x14ac:dyDescent="0.3">
      <c r="B161" s="181"/>
      <c r="C161" s="176" t="s">
        <v>107</v>
      </c>
      <c r="D161" s="406"/>
      <c r="E161" s="177"/>
      <c r="F161" s="177"/>
      <c r="G161" s="177"/>
      <c r="H161" s="177"/>
      <c r="I161" s="177"/>
    </row>
    <row r="162" spans="2:9" ht="33" customHeight="1" x14ac:dyDescent="0.3">
      <c r="B162" s="181"/>
      <c r="C162" s="176" t="s">
        <v>18</v>
      </c>
      <c r="D162" s="406"/>
      <c r="E162" s="178">
        <v>0</v>
      </c>
      <c r="F162" s="65">
        <v>15</v>
      </c>
      <c r="G162" s="65">
        <v>15</v>
      </c>
      <c r="H162" s="65">
        <v>15</v>
      </c>
      <c r="I162" s="177"/>
    </row>
    <row r="163" spans="2:9" ht="60" customHeight="1" x14ac:dyDescent="0.3">
      <c r="B163" s="407" t="s">
        <v>141</v>
      </c>
      <c r="C163" s="408" t="s">
        <v>142</v>
      </c>
      <c r="D163" s="40" t="s">
        <v>52</v>
      </c>
      <c r="E163" s="179"/>
      <c r="F163" s="179"/>
      <c r="G163" s="179"/>
      <c r="H163" s="179"/>
      <c r="I163" s="180"/>
    </row>
    <row r="164" spans="2:9" ht="21" customHeight="1" x14ac:dyDescent="0.3">
      <c r="B164" s="169"/>
      <c r="C164" s="163" t="s">
        <v>106</v>
      </c>
      <c r="D164" s="170"/>
      <c r="E164" s="164">
        <f>SUM(E166:E166)</f>
        <v>0</v>
      </c>
      <c r="F164" s="164">
        <v>21</v>
      </c>
      <c r="G164" s="164"/>
      <c r="H164" s="164"/>
      <c r="I164" s="164"/>
    </row>
    <row r="165" spans="2:9" ht="18.75" customHeight="1" x14ac:dyDescent="0.3">
      <c r="B165" s="306"/>
      <c r="C165" s="165" t="s">
        <v>107</v>
      </c>
      <c r="D165" s="406"/>
      <c r="E165" s="166"/>
      <c r="F165" s="162"/>
      <c r="G165" s="162"/>
      <c r="H165" s="162"/>
      <c r="I165" s="162"/>
    </row>
    <row r="166" spans="2:9" ht="27.75" customHeight="1" x14ac:dyDescent="0.3">
      <c r="B166" s="307"/>
      <c r="C166" s="186" t="s">
        <v>18</v>
      </c>
      <c r="D166" s="409"/>
      <c r="E166" s="187">
        <v>0</v>
      </c>
      <c r="F166" s="410">
        <v>21</v>
      </c>
      <c r="G166" s="410"/>
      <c r="H166" s="410"/>
      <c r="I166" s="188"/>
    </row>
    <row r="167" spans="2:9" ht="45.6" customHeight="1" x14ac:dyDescent="0.3">
      <c r="B167" s="411" t="s">
        <v>143</v>
      </c>
      <c r="C167" s="412" t="s">
        <v>144</v>
      </c>
      <c r="D167" s="413" t="s">
        <v>145</v>
      </c>
      <c r="E167" s="193"/>
      <c r="F167" s="193"/>
      <c r="G167" s="193"/>
      <c r="H167" s="193"/>
      <c r="I167" s="171"/>
    </row>
    <row r="168" spans="2:9" ht="20.25" customHeight="1" x14ac:dyDescent="0.3">
      <c r="B168" s="194"/>
      <c r="C168" s="195" t="s">
        <v>106</v>
      </c>
      <c r="D168" s="414"/>
      <c r="E168" s="196">
        <f>+E170</f>
        <v>0</v>
      </c>
      <c r="F168" s="196">
        <f t="shared" ref="F168:H168" si="8">+F170</f>
        <v>1.8</v>
      </c>
      <c r="G168" s="196">
        <f t="shared" si="8"/>
        <v>2.8</v>
      </c>
      <c r="H168" s="196">
        <f t="shared" si="8"/>
        <v>0</v>
      </c>
      <c r="I168" s="197"/>
    </row>
    <row r="169" spans="2:9" ht="14.25" customHeight="1" x14ac:dyDescent="0.3">
      <c r="B169" s="182"/>
      <c r="C169" s="176" t="s">
        <v>107</v>
      </c>
      <c r="D169" s="406"/>
      <c r="E169" s="178"/>
      <c r="F169" s="65"/>
      <c r="G169" s="65"/>
      <c r="H169" s="65"/>
      <c r="I169" s="177"/>
    </row>
    <row r="170" spans="2:9" ht="27.75" customHeight="1" x14ac:dyDescent="0.3">
      <c r="B170" s="182"/>
      <c r="C170" s="176" t="s">
        <v>18</v>
      </c>
      <c r="D170" s="406"/>
      <c r="E170" s="178">
        <v>0</v>
      </c>
      <c r="F170" s="65">
        <v>1.8</v>
      </c>
      <c r="G170" s="65">
        <v>2.8</v>
      </c>
      <c r="H170" s="65">
        <v>0</v>
      </c>
      <c r="I170" s="177"/>
    </row>
    <row r="171" spans="2:9" ht="27" customHeight="1" x14ac:dyDescent="0.3">
      <c r="B171" s="189" t="s">
        <v>146</v>
      </c>
      <c r="C171" s="190" t="s">
        <v>147</v>
      </c>
      <c r="D171" s="191"/>
      <c r="E171" s="192"/>
      <c r="F171" s="192"/>
      <c r="G171" s="192"/>
      <c r="H171" s="192"/>
      <c r="I171" s="191"/>
    </row>
    <row r="172" spans="2:9" ht="30" customHeight="1" x14ac:dyDescent="0.3">
      <c r="B172" s="82" t="s">
        <v>148</v>
      </c>
      <c r="C172" s="39" t="s">
        <v>149</v>
      </c>
      <c r="D172" s="40" t="s">
        <v>150</v>
      </c>
      <c r="E172" s="41"/>
      <c r="F172" s="41"/>
      <c r="G172" s="41"/>
      <c r="H172" s="41"/>
      <c r="I172" s="42"/>
    </row>
    <row r="173" spans="2:9" ht="15" customHeight="1" x14ac:dyDescent="0.3">
      <c r="B173" s="86"/>
      <c r="C173" s="6" t="s">
        <v>106</v>
      </c>
      <c r="D173" s="87"/>
      <c r="E173" s="7">
        <f>SUM(E175:E175)</f>
        <v>71.8</v>
      </c>
      <c r="F173" s="7">
        <f>SUM(F175:F175)</f>
        <v>71.8</v>
      </c>
      <c r="G173" s="7">
        <f t="shared" ref="G173:H173" si="9">SUM(G175:G175)</f>
        <v>71.8</v>
      </c>
      <c r="H173" s="7">
        <f t="shared" si="9"/>
        <v>71.8</v>
      </c>
      <c r="I173" s="89"/>
    </row>
    <row r="174" spans="2:9" ht="15.6" customHeight="1" x14ac:dyDescent="0.3">
      <c r="B174" s="299"/>
      <c r="C174" s="8" t="s">
        <v>107</v>
      </c>
      <c r="D174" s="15"/>
      <c r="E174" s="3"/>
      <c r="F174" s="3"/>
      <c r="G174" s="3"/>
      <c r="H174" s="3"/>
      <c r="I174" s="3"/>
    </row>
    <row r="175" spans="2:9" ht="29.4" customHeight="1" x14ac:dyDescent="0.3">
      <c r="B175" s="300"/>
      <c r="C175" s="8" t="s">
        <v>18</v>
      </c>
      <c r="D175" s="15"/>
      <c r="E175" s="59">
        <v>71.8</v>
      </c>
      <c r="F175" s="59">
        <v>71.8</v>
      </c>
      <c r="G175" s="59">
        <v>71.8</v>
      </c>
      <c r="H175" s="59">
        <v>71.8</v>
      </c>
      <c r="I175" s="72"/>
    </row>
    <row r="176" spans="2:9" ht="30.75" customHeight="1" x14ac:dyDescent="0.3">
      <c r="B176" s="82" t="s">
        <v>151</v>
      </c>
      <c r="C176" s="39" t="s">
        <v>152</v>
      </c>
      <c r="D176" s="40"/>
      <c r="E176" s="41"/>
      <c r="F176" s="41"/>
      <c r="G176" s="41"/>
      <c r="H176" s="41"/>
      <c r="I176" s="42"/>
    </row>
    <row r="177" spans="2:9" ht="28.5" customHeight="1" x14ac:dyDescent="0.3">
      <c r="B177" s="200"/>
      <c r="C177" s="13" t="s">
        <v>153</v>
      </c>
      <c r="D177" s="90"/>
      <c r="E177" s="59"/>
      <c r="F177" s="59"/>
      <c r="G177" s="59"/>
      <c r="H177" s="59"/>
      <c r="I177" s="21"/>
    </row>
    <row r="178" spans="2:9" ht="30" customHeight="1" x14ac:dyDescent="0.3">
      <c r="B178" s="318"/>
      <c r="C178" s="198" t="s">
        <v>154</v>
      </c>
      <c r="D178" s="303" t="s">
        <v>155</v>
      </c>
      <c r="E178" s="59"/>
      <c r="F178" s="59"/>
      <c r="G178" s="59"/>
      <c r="H178" s="59"/>
      <c r="I178" s="21" t="s">
        <v>156</v>
      </c>
    </row>
    <row r="179" spans="2:9" ht="18.75" customHeight="1" x14ac:dyDescent="0.3">
      <c r="B179" s="318"/>
      <c r="C179" s="199" t="s">
        <v>21</v>
      </c>
      <c r="D179" s="374"/>
      <c r="E179" s="21">
        <v>1250.4000000000001</v>
      </c>
      <c r="F179" s="21"/>
      <c r="G179" s="21"/>
      <c r="H179" s="21"/>
      <c r="I179" s="61"/>
    </row>
    <row r="180" spans="2:9" ht="30" customHeight="1" x14ac:dyDescent="0.3">
      <c r="B180" s="318"/>
      <c r="C180" s="199" t="s">
        <v>18</v>
      </c>
      <c r="D180" s="304"/>
      <c r="E180" s="21">
        <v>12.7</v>
      </c>
      <c r="F180" s="21"/>
      <c r="G180" s="21"/>
      <c r="H180" s="21"/>
      <c r="I180" s="61"/>
    </row>
    <row r="181" spans="2:9" ht="41.25" customHeight="1" x14ac:dyDescent="0.3">
      <c r="B181" s="289" t="s">
        <v>157</v>
      </c>
      <c r="C181" s="13" t="s">
        <v>158</v>
      </c>
      <c r="D181" s="303" t="s">
        <v>159</v>
      </c>
      <c r="E181" s="21"/>
      <c r="F181" s="21"/>
      <c r="G181" s="21"/>
      <c r="H181" s="21"/>
      <c r="I181" s="3"/>
    </row>
    <row r="182" spans="2:9" ht="30.75" customHeight="1" x14ac:dyDescent="0.3">
      <c r="B182" s="293"/>
      <c r="C182" s="71" t="s">
        <v>18</v>
      </c>
      <c r="D182" s="304"/>
      <c r="E182" s="21"/>
      <c r="F182" s="21"/>
      <c r="G182" s="21"/>
      <c r="H182" s="21"/>
      <c r="I182" s="3"/>
    </row>
    <row r="183" spans="2:9" ht="19.5" customHeight="1" x14ac:dyDescent="0.3">
      <c r="B183" s="305" t="s">
        <v>160</v>
      </c>
      <c r="C183" s="8" t="s">
        <v>161</v>
      </c>
      <c r="D183" s="301" t="s">
        <v>46</v>
      </c>
      <c r="E183" s="21"/>
      <c r="F183" s="21"/>
      <c r="G183" s="21"/>
      <c r="H183" s="21"/>
      <c r="I183" s="61" t="s">
        <v>162</v>
      </c>
    </row>
    <row r="184" spans="2:9" ht="30" customHeight="1" x14ac:dyDescent="0.3">
      <c r="B184" s="305"/>
      <c r="C184" s="71" t="s">
        <v>18</v>
      </c>
      <c r="D184" s="364"/>
      <c r="E184" s="21">
        <f>227.4+4.3-3.1</f>
        <v>228.60000000000002</v>
      </c>
      <c r="F184" s="21">
        <f>1668.5-1468.5</f>
        <v>200</v>
      </c>
      <c r="G184" s="21">
        <f>160+1468.5</f>
        <v>1628.5</v>
      </c>
      <c r="H184" s="21">
        <f>2190-543</f>
        <v>1647</v>
      </c>
      <c r="I184" s="3"/>
    </row>
    <row r="185" spans="2:9" ht="19.5" customHeight="1" x14ac:dyDescent="0.3">
      <c r="B185" s="367" t="s">
        <v>163</v>
      </c>
      <c r="C185" s="260" t="s">
        <v>164</v>
      </c>
      <c r="D185" s="364"/>
      <c r="E185" s="21"/>
      <c r="F185" s="21"/>
      <c r="G185" s="21"/>
      <c r="H185" s="21"/>
      <c r="I185" s="61"/>
    </row>
    <row r="186" spans="2:9" ht="30" customHeight="1" x14ac:dyDescent="0.3">
      <c r="B186" s="367"/>
      <c r="C186" s="199" t="s">
        <v>108</v>
      </c>
      <c r="D186" s="364"/>
      <c r="E186" s="21"/>
      <c r="F186" s="21">
        <f>1685-16.5-1468.5</f>
        <v>200</v>
      </c>
      <c r="G186" s="21">
        <f>0+1468.5</f>
        <v>1468.5</v>
      </c>
      <c r="H186" s="21"/>
      <c r="I186" s="3"/>
    </row>
    <row r="187" spans="2:9" ht="18.75" customHeight="1" x14ac:dyDescent="0.3">
      <c r="B187" s="367" t="s">
        <v>165</v>
      </c>
      <c r="C187" s="260" t="s">
        <v>166</v>
      </c>
      <c r="D187" s="364"/>
      <c r="E187" s="21"/>
      <c r="F187" s="21"/>
      <c r="G187" s="21"/>
      <c r="H187" s="21"/>
      <c r="I187" s="61"/>
    </row>
    <row r="188" spans="2:9" ht="30" customHeight="1" x14ac:dyDescent="0.3">
      <c r="B188" s="367"/>
      <c r="C188" s="199" t="s">
        <v>108</v>
      </c>
      <c r="D188" s="364"/>
      <c r="E188" s="21"/>
      <c r="F188" s="21"/>
      <c r="G188" s="21">
        <v>40</v>
      </c>
      <c r="H188" s="21">
        <v>950</v>
      </c>
      <c r="I188" s="3"/>
    </row>
    <row r="189" spans="2:9" ht="19.5" customHeight="1" x14ac:dyDescent="0.3">
      <c r="B189" s="367" t="s">
        <v>167</v>
      </c>
      <c r="C189" s="260" t="s">
        <v>168</v>
      </c>
      <c r="D189" s="364"/>
      <c r="E189" s="21"/>
      <c r="F189" s="21"/>
      <c r="G189" s="21"/>
      <c r="H189" s="21"/>
      <c r="I189" s="61"/>
    </row>
    <row r="190" spans="2:9" ht="30" customHeight="1" x14ac:dyDescent="0.3">
      <c r="B190" s="367"/>
      <c r="C190" s="199" t="s">
        <v>108</v>
      </c>
      <c r="D190" s="364"/>
      <c r="E190" s="21"/>
      <c r="F190" s="21"/>
      <c r="G190" s="21">
        <v>40</v>
      </c>
      <c r="H190" s="21">
        <f>1200-543</f>
        <v>657</v>
      </c>
      <c r="I190" s="3"/>
    </row>
    <row r="191" spans="2:9" ht="19.5" customHeight="1" x14ac:dyDescent="0.3">
      <c r="B191" s="367" t="s">
        <v>169</v>
      </c>
      <c r="C191" s="260" t="s">
        <v>170</v>
      </c>
      <c r="D191" s="364"/>
      <c r="E191" s="21"/>
      <c r="F191" s="21"/>
      <c r="G191" s="21"/>
      <c r="H191" s="21"/>
      <c r="I191" s="61"/>
    </row>
    <row r="192" spans="2:9" ht="30" customHeight="1" x14ac:dyDescent="0.3">
      <c r="B192" s="367"/>
      <c r="C192" s="199" t="s">
        <v>108</v>
      </c>
      <c r="D192" s="364"/>
      <c r="E192" s="21"/>
      <c r="F192" s="21"/>
      <c r="G192" s="21">
        <v>80</v>
      </c>
      <c r="H192" s="21"/>
      <c r="I192" s="3"/>
    </row>
    <row r="193" spans="2:9" ht="19.5" customHeight="1" x14ac:dyDescent="0.3">
      <c r="B193" s="367" t="s">
        <v>171</v>
      </c>
      <c r="C193" s="260" t="s">
        <v>172</v>
      </c>
      <c r="D193" s="364"/>
      <c r="E193" s="21"/>
      <c r="F193" s="21"/>
      <c r="G193" s="21"/>
      <c r="H193" s="21"/>
      <c r="I193" s="61"/>
    </row>
    <row r="194" spans="2:9" ht="30" customHeight="1" x14ac:dyDescent="0.3">
      <c r="B194" s="367"/>
      <c r="C194" s="199" t="s">
        <v>108</v>
      </c>
      <c r="D194" s="364"/>
      <c r="E194" s="21"/>
      <c r="F194" s="21"/>
      <c r="G194" s="21"/>
      <c r="H194" s="21">
        <v>40</v>
      </c>
      <c r="I194" s="3"/>
    </row>
    <row r="195" spans="2:9" ht="30.75" customHeight="1" x14ac:dyDescent="0.3">
      <c r="B195" s="305"/>
      <c r="C195" s="8" t="s">
        <v>173</v>
      </c>
      <c r="D195" s="364"/>
      <c r="E195" s="21"/>
      <c r="F195" s="61"/>
      <c r="G195" s="61"/>
      <c r="H195" s="61"/>
      <c r="I195" s="3"/>
    </row>
    <row r="196" spans="2:9" ht="27.6" customHeight="1" x14ac:dyDescent="0.3">
      <c r="B196" s="305"/>
      <c r="C196" s="71" t="s">
        <v>18</v>
      </c>
      <c r="D196" s="302"/>
      <c r="E196" s="21">
        <f>395.4-4.7-4.3-19.4</f>
        <v>367</v>
      </c>
      <c r="F196" s="21"/>
      <c r="G196" s="21"/>
      <c r="H196" s="21"/>
      <c r="I196" s="3"/>
    </row>
    <row r="197" spans="2:9" ht="117.75" customHeight="1" x14ac:dyDescent="0.3">
      <c r="B197" s="300"/>
      <c r="C197" s="71" t="s">
        <v>18</v>
      </c>
      <c r="D197" s="90" t="s">
        <v>174</v>
      </c>
      <c r="E197" s="21">
        <v>4.7</v>
      </c>
      <c r="F197" s="21"/>
      <c r="G197" s="21"/>
      <c r="H197" s="21"/>
      <c r="I197" s="3"/>
    </row>
    <row r="198" spans="2:9" ht="18.600000000000001" customHeight="1" x14ac:dyDescent="0.3">
      <c r="B198" s="325" t="s">
        <v>175</v>
      </c>
      <c r="C198" s="13" t="s">
        <v>176</v>
      </c>
      <c r="D198" s="301" t="s">
        <v>155</v>
      </c>
      <c r="E198" s="21"/>
      <c r="F198" s="21"/>
      <c r="G198" s="21"/>
      <c r="H198" s="21"/>
      <c r="I198" s="61" t="s">
        <v>156</v>
      </c>
    </row>
    <row r="199" spans="2:9" ht="30.6" customHeight="1" x14ac:dyDescent="0.3">
      <c r="B199" s="319"/>
      <c r="C199" s="50" t="s">
        <v>18</v>
      </c>
      <c r="D199" s="364"/>
      <c r="E199" s="21">
        <v>14.6</v>
      </c>
      <c r="F199" s="21">
        <v>693.6</v>
      </c>
      <c r="G199" s="21">
        <f>124.5+4256</f>
        <v>4380.5</v>
      </c>
      <c r="H199" s="21"/>
      <c r="I199" s="3"/>
    </row>
    <row r="200" spans="2:9" ht="17.25" customHeight="1" x14ac:dyDescent="0.3">
      <c r="B200" s="326"/>
      <c r="C200" s="71" t="s">
        <v>21</v>
      </c>
      <c r="D200" s="302"/>
      <c r="E200" s="21">
        <v>39.4</v>
      </c>
      <c r="F200" s="21">
        <v>4.5999999999999996</v>
      </c>
      <c r="G200" s="21"/>
      <c r="H200" s="21"/>
      <c r="I200" s="3"/>
    </row>
    <row r="201" spans="2:9" ht="30.6" customHeight="1" x14ac:dyDescent="0.3">
      <c r="B201" s="325" t="s">
        <v>177</v>
      </c>
      <c r="C201" s="13" t="s">
        <v>178</v>
      </c>
      <c r="D201" s="301" t="s">
        <v>155</v>
      </c>
      <c r="E201" s="21"/>
      <c r="F201" s="21"/>
      <c r="G201" s="21"/>
      <c r="H201" s="21"/>
      <c r="I201" s="61" t="s">
        <v>156</v>
      </c>
    </row>
    <row r="202" spans="2:9" ht="30.6" customHeight="1" x14ac:dyDescent="0.3">
      <c r="B202" s="319"/>
      <c r="C202" s="50" t="s">
        <v>18</v>
      </c>
      <c r="D202" s="364"/>
      <c r="E202" s="21"/>
      <c r="F202" s="21">
        <v>1780.3</v>
      </c>
      <c r="G202" s="21"/>
      <c r="H202" s="21"/>
      <c r="I202" s="61"/>
    </row>
    <row r="203" spans="2:9" ht="20.399999999999999" customHeight="1" x14ac:dyDescent="0.3">
      <c r="B203" s="319"/>
      <c r="C203" s="71" t="s">
        <v>21</v>
      </c>
      <c r="D203" s="364"/>
      <c r="E203" s="21">
        <f>2486.8-1424+221.4-86.8</f>
        <v>1197.4000000000003</v>
      </c>
      <c r="F203" s="21"/>
      <c r="G203" s="21"/>
      <c r="H203" s="21"/>
      <c r="I203" s="3"/>
    </row>
    <row r="204" spans="2:9" ht="18" customHeight="1" x14ac:dyDescent="0.3">
      <c r="B204" s="326"/>
      <c r="C204" s="50" t="s">
        <v>179</v>
      </c>
      <c r="D204" s="302"/>
      <c r="E204" s="21">
        <f>1424-221.4+418</f>
        <v>1620.6</v>
      </c>
      <c r="F204" s="21"/>
      <c r="G204" s="21"/>
      <c r="H204" s="21"/>
      <c r="I204" s="59"/>
    </row>
    <row r="205" spans="2:9" ht="32.4" customHeight="1" x14ac:dyDescent="0.3">
      <c r="B205" s="299" t="s">
        <v>180</v>
      </c>
      <c r="C205" s="8" t="s">
        <v>181</v>
      </c>
      <c r="D205" s="301" t="s">
        <v>16</v>
      </c>
      <c r="E205" s="61"/>
      <c r="F205" s="61"/>
      <c r="G205" s="61"/>
      <c r="H205" s="61"/>
      <c r="I205" s="3"/>
    </row>
    <row r="206" spans="2:9" ht="33" customHeight="1" x14ac:dyDescent="0.3">
      <c r="B206" s="300"/>
      <c r="C206" s="71" t="s">
        <v>18</v>
      </c>
      <c r="D206" s="364"/>
      <c r="E206" s="61">
        <f>211.5+400.5</f>
        <v>612</v>
      </c>
      <c r="F206" s="61">
        <v>528.9</v>
      </c>
      <c r="G206" s="61">
        <v>426</v>
      </c>
      <c r="H206" s="61">
        <v>355.5</v>
      </c>
      <c r="I206" s="3"/>
    </row>
    <row r="207" spans="2:9" ht="19.5" customHeight="1" x14ac:dyDescent="0.3">
      <c r="B207" s="325" t="s">
        <v>182</v>
      </c>
      <c r="C207" s="415" t="s">
        <v>183</v>
      </c>
      <c r="D207" s="301" t="s">
        <v>155</v>
      </c>
      <c r="E207" s="61"/>
      <c r="F207" s="61"/>
      <c r="G207" s="61"/>
      <c r="H207" s="61"/>
      <c r="I207" s="3"/>
    </row>
    <row r="208" spans="2:9" ht="30" customHeight="1" x14ac:dyDescent="0.3">
      <c r="B208" s="319"/>
      <c r="C208" s="416" t="s">
        <v>18</v>
      </c>
      <c r="D208" s="364"/>
      <c r="E208" s="21">
        <f>50-50</f>
        <v>0</v>
      </c>
      <c r="F208" s="21">
        <v>320</v>
      </c>
      <c r="G208" s="21">
        <v>670</v>
      </c>
      <c r="H208" s="21">
        <v>330</v>
      </c>
      <c r="I208" s="3"/>
    </row>
    <row r="209" spans="2:9" ht="18.75" customHeight="1" x14ac:dyDescent="0.3">
      <c r="B209" s="319"/>
      <c r="C209" s="416" t="s">
        <v>184</v>
      </c>
      <c r="D209" s="364"/>
      <c r="E209" s="21"/>
      <c r="F209" s="21">
        <v>80</v>
      </c>
      <c r="G209" s="21">
        <v>30</v>
      </c>
      <c r="H209" s="21"/>
      <c r="I209" s="3"/>
    </row>
    <row r="210" spans="2:9" ht="18.75" customHeight="1" x14ac:dyDescent="0.3">
      <c r="B210" s="319"/>
      <c r="C210" s="416" t="s">
        <v>185</v>
      </c>
      <c r="D210" s="364"/>
      <c r="E210" s="21"/>
      <c r="F210" s="21">
        <v>80</v>
      </c>
      <c r="G210" s="21">
        <v>30</v>
      </c>
      <c r="H210" s="21"/>
      <c r="I210" s="3"/>
    </row>
    <row r="211" spans="2:9" ht="18.75" customHeight="1" x14ac:dyDescent="0.3">
      <c r="B211" s="319"/>
      <c r="C211" s="416" t="s">
        <v>186</v>
      </c>
      <c r="D211" s="364"/>
      <c r="E211" s="21"/>
      <c r="F211" s="21">
        <v>80</v>
      </c>
      <c r="G211" s="21">
        <v>30</v>
      </c>
      <c r="H211" s="21"/>
      <c r="I211" s="3"/>
    </row>
    <row r="212" spans="2:9" ht="18.75" customHeight="1" x14ac:dyDescent="0.3">
      <c r="B212" s="319"/>
      <c r="C212" s="416" t="s">
        <v>187</v>
      </c>
      <c r="D212" s="364"/>
      <c r="E212" s="21"/>
      <c r="F212" s="21">
        <v>80</v>
      </c>
      <c r="G212" s="21">
        <v>30</v>
      </c>
      <c r="H212" s="21"/>
      <c r="I212" s="3"/>
    </row>
    <row r="213" spans="2:9" ht="18.75" customHeight="1" x14ac:dyDescent="0.3">
      <c r="B213" s="319"/>
      <c r="C213" s="416" t="s">
        <v>188</v>
      </c>
      <c r="D213" s="364"/>
      <c r="E213" s="21"/>
      <c r="F213" s="21"/>
      <c r="G213" s="21">
        <v>110</v>
      </c>
      <c r="H213" s="21"/>
      <c r="I213" s="3"/>
    </row>
    <row r="214" spans="2:9" ht="18.75" customHeight="1" x14ac:dyDescent="0.3">
      <c r="B214" s="319"/>
      <c r="C214" s="416" t="s">
        <v>189</v>
      </c>
      <c r="D214" s="364"/>
      <c r="E214" s="21"/>
      <c r="F214" s="21"/>
      <c r="G214" s="21">
        <v>110</v>
      </c>
      <c r="H214" s="21"/>
      <c r="I214" s="3"/>
    </row>
    <row r="215" spans="2:9" ht="18.75" customHeight="1" x14ac:dyDescent="0.3">
      <c r="B215" s="319"/>
      <c r="C215" s="416" t="s">
        <v>190</v>
      </c>
      <c r="D215" s="364"/>
      <c r="E215" s="21"/>
      <c r="F215" s="21"/>
      <c r="G215" s="21">
        <v>110</v>
      </c>
      <c r="H215" s="21"/>
      <c r="I215" s="3"/>
    </row>
    <row r="216" spans="2:9" ht="18.75" customHeight="1" x14ac:dyDescent="0.3">
      <c r="B216" s="319"/>
      <c r="C216" s="416" t="s">
        <v>191</v>
      </c>
      <c r="D216" s="364"/>
      <c r="E216" s="21"/>
      <c r="F216" s="21"/>
      <c r="G216" s="21">
        <v>110</v>
      </c>
      <c r="H216" s="21"/>
      <c r="I216" s="3"/>
    </row>
    <row r="217" spans="2:9" ht="18.75" customHeight="1" x14ac:dyDescent="0.3">
      <c r="B217" s="319"/>
      <c r="C217" s="416" t="s">
        <v>192</v>
      </c>
      <c r="D217" s="364"/>
      <c r="E217" s="21"/>
      <c r="F217" s="21"/>
      <c r="G217" s="21">
        <v>110</v>
      </c>
      <c r="H217" s="21"/>
      <c r="I217" s="3"/>
    </row>
    <row r="218" spans="2:9" ht="18.75" customHeight="1" x14ac:dyDescent="0.3">
      <c r="B218" s="319"/>
      <c r="C218" s="416" t="s">
        <v>193</v>
      </c>
      <c r="D218" s="364"/>
      <c r="E218" s="21"/>
      <c r="F218" s="21"/>
      <c r="G218" s="21"/>
      <c r="H218" s="21">
        <v>110</v>
      </c>
      <c r="I218" s="3"/>
    </row>
    <row r="219" spans="2:9" ht="18.75" customHeight="1" x14ac:dyDescent="0.3">
      <c r="B219" s="319"/>
      <c r="C219" s="416" t="s">
        <v>194</v>
      </c>
      <c r="D219" s="364"/>
      <c r="E219" s="21"/>
      <c r="F219" s="21"/>
      <c r="G219" s="21"/>
      <c r="H219" s="21">
        <v>110</v>
      </c>
      <c r="I219" s="3"/>
    </row>
    <row r="220" spans="2:9" ht="18.75" customHeight="1" x14ac:dyDescent="0.3">
      <c r="B220" s="326"/>
      <c r="C220" s="416" t="s">
        <v>195</v>
      </c>
      <c r="D220" s="302"/>
      <c r="E220" s="21"/>
      <c r="F220" s="21"/>
      <c r="G220" s="21"/>
      <c r="H220" s="21">
        <v>110</v>
      </c>
      <c r="I220" s="3"/>
    </row>
    <row r="221" spans="2:9" ht="30.75" customHeight="1" x14ac:dyDescent="0.3">
      <c r="B221" s="377"/>
      <c r="C221" s="417" t="s">
        <v>196</v>
      </c>
      <c r="D221" s="418" t="s">
        <v>155</v>
      </c>
      <c r="E221" s="21"/>
      <c r="F221" s="21"/>
      <c r="G221" s="21"/>
      <c r="H221" s="21"/>
      <c r="I221" s="3"/>
    </row>
    <row r="222" spans="2:9" ht="31.2" customHeight="1" x14ac:dyDescent="0.3">
      <c r="B222" s="300"/>
      <c r="C222" s="419" t="s">
        <v>18</v>
      </c>
      <c r="D222" s="302"/>
      <c r="E222" s="21">
        <f>25.9-12.7-13.2</f>
        <v>0</v>
      </c>
      <c r="F222" s="21"/>
      <c r="G222" s="21"/>
      <c r="H222" s="21"/>
      <c r="I222" s="3"/>
    </row>
    <row r="223" spans="2:9" ht="30.6" customHeight="1" x14ac:dyDescent="0.3">
      <c r="B223" s="288"/>
      <c r="C223" s="13" t="s">
        <v>197</v>
      </c>
      <c r="D223" s="291"/>
      <c r="E223" s="61"/>
      <c r="F223" s="61"/>
      <c r="G223" s="61"/>
      <c r="H223" s="61"/>
      <c r="I223" s="3"/>
    </row>
    <row r="224" spans="2:9" ht="42.75" customHeight="1" x14ac:dyDescent="0.3">
      <c r="B224" s="312" t="s">
        <v>198</v>
      </c>
      <c r="C224" s="13" t="s">
        <v>199</v>
      </c>
      <c r="D224" s="303" t="s">
        <v>47</v>
      </c>
      <c r="E224" s="21"/>
      <c r="F224" s="21"/>
      <c r="G224" s="21"/>
      <c r="H224" s="21"/>
      <c r="I224" s="61" t="s">
        <v>156</v>
      </c>
    </row>
    <row r="225" spans="2:9" ht="31.2" customHeight="1" x14ac:dyDescent="0.3">
      <c r="B225" s="313"/>
      <c r="C225" s="50" t="s">
        <v>45</v>
      </c>
      <c r="D225" s="374"/>
      <c r="E225" s="21">
        <v>5.9</v>
      </c>
      <c r="F225" s="21"/>
      <c r="G225" s="21"/>
      <c r="H225" s="21"/>
      <c r="I225" s="61"/>
    </row>
    <row r="226" spans="2:9" ht="18" customHeight="1" x14ac:dyDescent="0.3">
      <c r="B226" s="314"/>
      <c r="C226" s="50" t="s">
        <v>21</v>
      </c>
      <c r="D226" s="374"/>
      <c r="E226" s="21">
        <f>214.7-100</f>
        <v>114.69999999999999</v>
      </c>
      <c r="F226" s="21">
        <v>85</v>
      </c>
      <c r="G226" s="21"/>
      <c r="H226" s="21"/>
      <c r="I226" s="59"/>
    </row>
    <row r="227" spans="2:9" ht="30.6" customHeight="1" x14ac:dyDescent="0.3">
      <c r="B227" s="292"/>
      <c r="C227" s="13" t="s">
        <v>200</v>
      </c>
      <c r="D227" s="304"/>
      <c r="E227" s="21"/>
      <c r="F227" s="21"/>
      <c r="G227" s="21"/>
      <c r="H227" s="21"/>
      <c r="I227" s="59"/>
    </row>
    <row r="228" spans="2:9" ht="68.25" customHeight="1" x14ac:dyDescent="0.3">
      <c r="B228" s="312" t="s">
        <v>201</v>
      </c>
      <c r="C228" s="13" t="s">
        <v>202</v>
      </c>
      <c r="D228" s="301" t="s">
        <v>155</v>
      </c>
      <c r="E228" s="21"/>
      <c r="F228" s="21"/>
      <c r="G228" s="21"/>
      <c r="H228" s="21"/>
      <c r="I228" s="61" t="s">
        <v>156</v>
      </c>
    </row>
    <row r="229" spans="2:9" ht="28.5" customHeight="1" x14ac:dyDescent="0.3">
      <c r="B229" s="313"/>
      <c r="C229" s="50" t="s">
        <v>18</v>
      </c>
      <c r="D229" s="364"/>
      <c r="E229" s="21"/>
      <c r="F229" s="21">
        <v>1163.8</v>
      </c>
      <c r="G229" s="21">
        <v>160</v>
      </c>
      <c r="H229" s="21">
        <v>2185.5</v>
      </c>
      <c r="I229" s="61"/>
    </row>
    <row r="230" spans="2:9" ht="18" customHeight="1" x14ac:dyDescent="0.3">
      <c r="B230" s="313"/>
      <c r="C230" s="158" t="s">
        <v>21</v>
      </c>
      <c r="D230" s="302"/>
      <c r="E230" s="21">
        <f>750.9-200</f>
        <v>550.9</v>
      </c>
      <c r="F230" s="21"/>
      <c r="G230" s="21"/>
      <c r="H230" s="21"/>
      <c r="I230" s="59"/>
    </row>
    <row r="231" spans="2:9" ht="18" customHeight="1" x14ac:dyDescent="0.3">
      <c r="B231" s="365"/>
      <c r="C231" s="201" t="s">
        <v>203</v>
      </c>
      <c r="D231" s="420"/>
      <c r="E231" s="21"/>
      <c r="F231" s="21">
        <v>763.8</v>
      </c>
      <c r="G231" s="21"/>
      <c r="H231" s="21"/>
      <c r="I231" s="59"/>
    </row>
    <row r="232" spans="2:9" ht="18" customHeight="1" x14ac:dyDescent="0.3">
      <c r="B232" s="365"/>
      <c r="C232" s="227" t="s">
        <v>204</v>
      </c>
      <c r="D232" s="420"/>
      <c r="E232" s="21"/>
      <c r="F232" s="21">
        <v>50</v>
      </c>
      <c r="G232" s="21">
        <f>4.5+12+5</f>
        <v>21.5</v>
      </c>
      <c r="H232" s="21"/>
      <c r="I232" s="59"/>
    </row>
    <row r="233" spans="2:9" ht="18" customHeight="1" x14ac:dyDescent="0.3">
      <c r="B233" s="365"/>
      <c r="C233" s="201" t="s">
        <v>205</v>
      </c>
      <c r="D233" s="420"/>
      <c r="E233" s="21"/>
      <c r="F233" s="21">
        <v>50</v>
      </c>
      <c r="G233" s="21">
        <f>4.5+12+5</f>
        <v>21.5</v>
      </c>
      <c r="H233" s="21"/>
      <c r="I233" s="59"/>
    </row>
    <row r="234" spans="2:9" ht="18" customHeight="1" x14ac:dyDescent="0.3">
      <c r="B234" s="365"/>
      <c r="C234" s="201" t="s">
        <v>206</v>
      </c>
      <c r="D234" s="420"/>
      <c r="E234" s="21"/>
      <c r="F234" s="21">
        <v>100</v>
      </c>
      <c r="G234" s="21">
        <f>21+12+6</f>
        <v>39</v>
      </c>
      <c r="H234" s="21"/>
      <c r="I234" s="59"/>
    </row>
    <row r="235" spans="2:9" ht="18" customHeight="1" x14ac:dyDescent="0.3">
      <c r="B235" s="365"/>
      <c r="C235" s="201" t="s">
        <v>207</v>
      </c>
      <c r="D235" s="420"/>
      <c r="E235" s="21"/>
      <c r="F235" s="21">
        <v>100</v>
      </c>
      <c r="G235" s="21">
        <f>21+12+6</f>
        <v>39</v>
      </c>
      <c r="H235" s="21"/>
      <c r="I235" s="59"/>
    </row>
    <row r="236" spans="2:9" ht="18" customHeight="1" x14ac:dyDescent="0.3">
      <c r="B236" s="366"/>
      <c r="C236" s="201" t="s">
        <v>208</v>
      </c>
      <c r="D236" s="420"/>
      <c r="E236" s="21"/>
      <c r="F236" s="21">
        <v>100</v>
      </c>
      <c r="G236" s="21">
        <f>21+12+6</f>
        <v>39</v>
      </c>
      <c r="H236" s="21"/>
      <c r="I236" s="59"/>
    </row>
    <row r="237" spans="2:9" ht="31.95" customHeight="1" x14ac:dyDescent="0.3">
      <c r="B237" s="312"/>
      <c r="C237" s="105" t="s">
        <v>209</v>
      </c>
      <c r="D237" s="421" t="s">
        <v>210</v>
      </c>
      <c r="E237" s="21"/>
      <c r="F237" s="21"/>
      <c r="G237" s="21"/>
      <c r="H237" s="21"/>
      <c r="I237" s="61" t="s">
        <v>156</v>
      </c>
    </row>
    <row r="238" spans="2:9" ht="19.95" customHeight="1" x14ac:dyDescent="0.3">
      <c r="B238" s="314"/>
      <c r="C238" s="71" t="s">
        <v>21</v>
      </c>
      <c r="D238" s="58"/>
      <c r="E238" s="21">
        <f>126.5-88.4</f>
        <v>38.099999999999994</v>
      </c>
      <c r="F238" s="21"/>
      <c r="G238" s="21"/>
      <c r="H238" s="21"/>
      <c r="I238" s="59"/>
    </row>
    <row r="239" spans="2:9" ht="44.4" customHeight="1" x14ac:dyDescent="0.3">
      <c r="B239" s="299" t="s">
        <v>211</v>
      </c>
      <c r="C239" s="13" t="s">
        <v>212</v>
      </c>
      <c r="D239" s="303" t="s">
        <v>155</v>
      </c>
      <c r="E239" s="21"/>
      <c r="F239" s="21"/>
      <c r="G239" s="21"/>
      <c r="H239" s="21"/>
      <c r="I239" s="61" t="s">
        <v>156</v>
      </c>
    </row>
    <row r="240" spans="2:9" ht="27" customHeight="1" x14ac:dyDescent="0.3">
      <c r="B240" s="305"/>
      <c r="C240" s="50" t="s">
        <v>18</v>
      </c>
      <c r="D240" s="374"/>
      <c r="E240" s="21"/>
      <c r="F240" s="21">
        <f>1106.1-192.4</f>
        <v>913.69999999999993</v>
      </c>
      <c r="G240" s="21">
        <v>884.4</v>
      </c>
      <c r="H240" s="21"/>
      <c r="I240" s="61"/>
    </row>
    <row r="241" spans="2:9" ht="18" customHeight="1" x14ac:dyDescent="0.3">
      <c r="B241" s="305"/>
      <c r="C241" s="50" t="s">
        <v>179</v>
      </c>
      <c r="D241" s="374"/>
      <c r="E241" s="21"/>
      <c r="F241" s="21">
        <v>4217.3999999999996</v>
      </c>
      <c r="G241" s="21"/>
      <c r="H241" s="21"/>
      <c r="I241" s="61"/>
    </row>
    <row r="242" spans="2:9" ht="19.2" customHeight="1" x14ac:dyDescent="0.3">
      <c r="B242" s="300"/>
      <c r="C242" s="50" t="s">
        <v>21</v>
      </c>
      <c r="D242" s="304"/>
      <c r="E242" s="21">
        <f>1205-376.6-225</f>
        <v>603.4</v>
      </c>
      <c r="F242" s="21"/>
      <c r="G242" s="21"/>
      <c r="H242" s="21"/>
      <c r="I242" s="59"/>
    </row>
    <row r="243" spans="2:9" ht="45.6" customHeight="1" x14ac:dyDescent="0.3">
      <c r="B243" s="312" t="s">
        <v>213</v>
      </c>
      <c r="C243" s="13" t="s">
        <v>214</v>
      </c>
      <c r="D243" s="422" t="s">
        <v>210</v>
      </c>
      <c r="E243" s="21"/>
      <c r="F243" s="21"/>
      <c r="G243" s="21"/>
      <c r="H243" s="21"/>
      <c r="I243" s="21" t="s">
        <v>156</v>
      </c>
    </row>
    <row r="244" spans="2:9" ht="27" customHeight="1" x14ac:dyDescent="0.3">
      <c r="B244" s="313"/>
      <c r="C244" s="50" t="s">
        <v>18</v>
      </c>
      <c r="D244" s="370"/>
      <c r="E244" s="21">
        <f>106-106</f>
        <v>0</v>
      </c>
      <c r="F244" s="21">
        <v>263</v>
      </c>
      <c r="G244" s="21">
        <f>517.7-258.8</f>
        <v>258.90000000000003</v>
      </c>
      <c r="H244" s="21">
        <v>425.8</v>
      </c>
      <c r="I244" s="59"/>
    </row>
    <row r="245" spans="2:9" ht="18.75" customHeight="1" x14ac:dyDescent="0.3">
      <c r="B245" s="289"/>
      <c r="C245" s="50" t="s">
        <v>179</v>
      </c>
      <c r="D245" s="370"/>
      <c r="E245" s="21"/>
      <c r="F245" s="21"/>
      <c r="G245" s="21">
        <v>258.8</v>
      </c>
      <c r="H245" s="21"/>
      <c r="I245" s="59"/>
    </row>
    <row r="246" spans="2:9" ht="20.25" customHeight="1" x14ac:dyDescent="0.3">
      <c r="B246" s="289"/>
      <c r="C246" s="423" t="s">
        <v>33</v>
      </c>
      <c r="D246" s="370"/>
      <c r="E246" s="21"/>
      <c r="F246" s="21"/>
      <c r="G246" s="21">
        <v>2800</v>
      </c>
      <c r="H246" s="21">
        <v>2361.8000000000002</v>
      </c>
      <c r="I246" s="59"/>
    </row>
    <row r="247" spans="2:9" ht="20.399999999999999" customHeight="1" x14ac:dyDescent="0.3">
      <c r="B247" s="299"/>
      <c r="C247" s="8" t="s">
        <v>215</v>
      </c>
      <c r="D247" s="384" t="s">
        <v>47</v>
      </c>
      <c r="E247" s="21"/>
      <c r="F247" s="21"/>
      <c r="G247" s="21"/>
      <c r="H247" s="21"/>
      <c r="I247" s="59"/>
    </row>
    <row r="248" spans="2:9" ht="29.25" customHeight="1" x14ac:dyDescent="0.3">
      <c r="B248" s="305"/>
      <c r="C248" s="158" t="s">
        <v>18</v>
      </c>
      <c r="D248" s="304"/>
      <c r="E248" s="21">
        <f>15-15</f>
        <v>0</v>
      </c>
      <c r="F248" s="21"/>
      <c r="G248" s="21"/>
      <c r="H248" s="21"/>
      <c r="I248" s="59"/>
    </row>
    <row r="249" spans="2:9" ht="19.95" customHeight="1" x14ac:dyDescent="0.3">
      <c r="B249" s="372" t="s">
        <v>216</v>
      </c>
      <c r="C249" s="424" t="s">
        <v>217</v>
      </c>
      <c r="D249" s="425"/>
      <c r="E249" s="21"/>
      <c r="F249" s="21"/>
      <c r="G249" s="21"/>
      <c r="H249" s="21"/>
      <c r="I249" s="59"/>
    </row>
    <row r="250" spans="2:9" ht="31.5" customHeight="1" x14ac:dyDescent="0.3">
      <c r="B250" s="373"/>
      <c r="C250" s="426" t="s">
        <v>218</v>
      </c>
      <c r="D250" s="427" t="s">
        <v>155</v>
      </c>
      <c r="E250" s="283"/>
      <c r="F250" s="283"/>
      <c r="G250" s="283"/>
      <c r="H250" s="283"/>
      <c r="I250" s="159"/>
    </row>
    <row r="251" spans="2:9" ht="30.6" customHeight="1" x14ac:dyDescent="0.3">
      <c r="B251" s="373"/>
      <c r="C251" s="428" t="s">
        <v>18</v>
      </c>
      <c r="D251" s="429"/>
      <c r="E251" s="430">
        <f>15-15</f>
        <v>0</v>
      </c>
      <c r="F251" s="280">
        <v>60</v>
      </c>
      <c r="G251" s="280">
        <v>175.5</v>
      </c>
      <c r="H251" s="280">
        <v>3987.9</v>
      </c>
      <c r="I251" s="281"/>
    </row>
    <row r="252" spans="2:9" ht="27.75" customHeight="1" x14ac:dyDescent="0.3">
      <c r="B252" s="375"/>
      <c r="C252" s="431" t="s">
        <v>219</v>
      </c>
      <c r="D252" s="429"/>
      <c r="E252" s="432"/>
      <c r="F252" s="284"/>
      <c r="G252" s="284"/>
      <c r="H252" s="284"/>
      <c r="I252" s="285"/>
    </row>
    <row r="253" spans="2:9" ht="30" customHeight="1" x14ac:dyDescent="0.3">
      <c r="B253" s="376"/>
      <c r="C253" s="402" t="s">
        <v>18</v>
      </c>
      <c r="D253" s="433"/>
      <c r="E253" s="383">
        <f>15+43.7</f>
        <v>58.7</v>
      </c>
      <c r="F253" s="282"/>
      <c r="G253" s="282"/>
      <c r="H253" s="282"/>
      <c r="I253" s="160"/>
    </row>
    <row r="254" spans="2:9" ht="27.6" customHeight="1" x14ac:dyDescent="0.3">
      <c r="B254" s="91"/>
      <c r="C254" s="286" t="s">
        <v>220</v>
      </c>
      <c r="D254" s="287"/>
      <c r="E254" s="21"/>
      <c r="F254" s="21"/>
      <c r="G254" s="21"/>
      <c r="H254" s="21"/>
      <c r="I254" s="59"/>
    </row>
    <row r="255" spans="2:9" ht="43.95" customHeight="1" x14ac:dyDescent="0.3">
      <c r="B255" s="299" t="s">
        <v>221</v>
      </c>
      <c r="C255" s="13" t="s">
        <v>222</v>
      </c>
      <c r="D255" s="303" t="s">
        <v>155</v>
      </c>
      <c r="E255" s="21"/>
      <c r="F255" s="21"/>
      <c r="G255" s="21"/>
      <c r="H255" s="21"/>
      <c r="I255" s="61" t="s">
        <v>156</v>
      </c>
    </row>
    <row r="256" spans="2:9" ht="28.5" customHeight="1" x14ac:dyDescent="0.3">
      <c r="B256" s="305"/>
      <c r="C256" s="50" t="s">
        <v>18</v>
      </c>
      <c r="D256" s="374"/>
      <c r="E256" s="21"/>
      <c r="F256" s="21">
        <f>3076.9-84.4</f>
        <v>2992.5</v>
      </c>
      <c r="G256" s="21"/>
      <c r="H256" s="21"/>
      <c r="I256" s="61"/>
    </row>
    <row r="257" spans="2:9" ht="17.399999999999999" customHeight="1" x14ac:dyDescent="0.3">
      <c r="B257" s="330"/>
      <c r="C257" s="50" t="s">
        <v>21</v>
      </c>
      <c r="D257" s="304"/>
      <c r="E257" s="21">
        <f>676.1-336.1</f>
        <v>340</v>
      </c>
      <c r="F257" s="21"/>
      <c r="G257" s="21"/>
      <c r="H257" s="21"/>
      <c r="I257" s="59"/>
    </row>
    <row r="258" spans="2:9" ht="43.5" customHeight="1" x14ac:dyDescent="0.3">
      <c r="B258" s="323" t="s">
        <v>223</v>
      </c>
      <c r="C258" s="13" t="s">
        <v>224</v>
      </c>
      <c r="D258" s="303" t="s">
        <v>155</v>
      </c>
      <c r="E258" s="21"/>
      <c r="F258" s="21"/>
      <c r="G258" s="21"/>
      <c r="H258" s="21"/>
      <c r="I258" s="59"/>
    </row>
    <row r="259" spans="2:9" ht="29.25" customHeight="1" x14ac:dyDescent="0.3">
      <c r="B259" s="330"/>
      <c r="C259" s="50" t="s">
        <v>18</v>
      </c>
      <c r="D259" s="304"/>
      <c r="E259" s="21">
        <v>0</v>
      </c>
      <c r="F259" s="21">
        <f>50-35</f>
        <v>15</v>
      </c>
      <c r="G259" s="21">
        <f>100+35</f>
        <v>135</v>
      </c>
      <c r="H259" s="21"/>
      <c r="I259" s="159"/>
    </row>
    <row r="260" spans="2:9" ht="43.5" customHeight="1" x14ac:dyDescent="0.3">
      <c r="B260" s="323" t="s">
        <v>225</v>
      </c>
      <c r="C260" s="434" t="s">
        <v>226</v>
      </c>
      <c r="D260" s="303" t="s">
        <v>227</v>
      </c>
      <c r="E260" s="21"/>
      <c r="F260" s="21"/>
      <c r="G260" s="21"/>
      <c r="H260" s="255"/>
      <c r="I260" s="218"/>
    </row>
    <row r="261" spans="2:9" ht="29.25" customHeight="1" x14ac:dyDescent="0.3">
      <c r="B261" s="330"/>
      <c r="C261" s="435" t="s">
        <v>18</v>
      </c>
      <c r="D261" s="304"/>
      <c r="E261" s="21"/>
      <c r="F261" s="21"/>
      <c r="G261" s="21"/>
      <c r="H261" s="255"/>
      <c r="I261" s="218"/>
    </row>
    <row r="262" spans="2:9" ht="19.95" customHeight="1" x14ac:dyDescent="0.3">
      <c r="B262" s="20"/>
      <c r="C262" s="6" t="s">
        <v>106</v>
      </c>
      <c r="D262" s="92"/>
      <c r="E262" s="7">
        <f>SUM(E263:E267)</f>
        <v>7059.1000000000013</v>
      </c>
      <c r="F262" s="7">
        <f>SUM(F263:F267)</f>
        <v>13237.8</v>
      </c>
      <c r="G262" s="7">
        <f t="shared" ref="G262:H262" si="10">SUM(G263:G267)</f>
        <v>8977.5999999999985</v>
      </c>
      <c r="H262" s="236">
        <f t="shared" si="10"/>
        <v>8931.7000000000007</v>
      </c>
      <c r="I262" s="256"/>
    </row>
    <row r="263" spans="2:9" ht="18" customHeight="1" x14ac:dyDescent="0.3">
      <c r="B263" s="361"/>
      <c r="C263" s="8" t="s">
        <v>107</v>
      </c>
      <c r="D263" s="93"/>
      <c r="E263" s="59"/>
      <c r="F263" s="59"/>
      <c r="G263" s="59"/>
      <c r="H263" s="59"/>
      <c r="I263" s="160"/>
    </row>
    <row r="264" spans="2:9" ht="30" customHeight="1" x14ac:dyDescent="0.3">
      <c r="B264" s="362"/>
      <c r="C264" s="8" t="s">
        <v>108</v>
      </c>
      <c r="D264" s="93"/>
      <c r="E264" s="59">
        <f>SUMIF(C178:C259,C182,E178:E259)</f>
        <v>1298.3</v>
      </c>
      <c r="F264" s="59">
        <f>SUMIF(C178:C259,C182,F178:F259)</f>
        <v>8930.7999999999993</v>
      </c>
      <c r="G264" s="59">
        <f>SUMIF(C178:C259,C182,G178:G259)</f>
        <v>8718.7999999999993</v>
      </c>
      <c r="H264" s="59">
        <f>SUMIF(C178:C259,C182,H178:H259)</f>
        <v>8931.7000000000007</v>
      </c>
      <c r="I264" s="59"/>
    </row>
    <row r="265" spans="2:9" ht="30" customHeight="1" x14ac:dyDescent="0.3">
      <c r="B265" s="362"/>
      <c r="C265" s="94" t="s">
        <v>110</v>
      </c>
      <c r="D265" s="93"/>
      <c r="E265" s="59">
        <f>SUMIF(C178:C259,C225,E178:E259)</f>
        <v>5.9</v>
      </c>
      <c r="F265" s="59">
        <f>SUMIF(C178:C259,C225,F178:F259)</f>
        <v>0</v>
      </c>
      <c r="G265" s="59">
        <f>SUMIF(C178:C259,C225,G178:G259)</f>
        <v>0</v>
      </c>
      <c r="H265" s="59">
        <f>SUMIF(C178:C259,C225,H178:H259)</f>
        <v>0</v>
      </c>
      <c r="I265" s="59"/>
    </row>
    <row r="266" spans="2:9" ht="19.2" customHeight="1" x14ac:dyDescent="0.3">
      <c r="B266" s="362"/>
      <c r="C266" s="8" t="s">
        <v>228</v>
      </c>
      <c r="D266" s="93"/>
      <c r="E266" s="59">
        <f>SUMIF(C178:C259,C245,E178:E259)</f>
        <v>1620.6</v>
      </c>
      <c r="F266" s="59">
        <f>SUMIF(C178:C259,C245,F178:F259)</f>
        <v>4217.3999999999996</v>
      </c>
      <c r="G266" s="59">
        <f>SUMIF(C178:C259,C245,G178:G259)</f>
        <v>258.8</v>
      </c>
      <c r="H266" s="59">
        <f>SUMIF(C178:C259,C245,H178:H259)</f>
        <v>0</v>
      </c>
      <c r="I266" s="59"/>
    </row>
    <row r="267" spans="2:9" ht="19.2" customHeight="1" x14ac:dyDescent="0.3">
      <c r="B267" s="363"/>
      <c r="C267" s="8" t="s">
        <v>112</v>
      </c>
      <c r="D267" s="93"/>
      <c r="E267" s="59">
        <f>SUMIF(C178:C259,C179,E178:E259)</f>
        <v>4134.3000000000011</v>
      </c>
      <c r="F267" s="59">
        <f>SUMIF(C178:C259,C179,F178:F259)</f>
        <v>89.6</v>
      </c>
      <c r="G267" s="59">
        <f>SUMIF(C178:C259,C179,G178:G259)</f>
        <v>0</v>
      </c>
      <c r="H267" s="59">
        <f>SUMIF(C178:C259,C179,H178:H259)</f>
        <v>0</v>
      </c>
      <c r="I267" s="59"/>
    </row>
    <row r="268" spans="2:9" ht="19.2" customHeight="1" x14ac:dyDescent="0.3">
      <c r="B268" s="20"/>
      <c r="C268" s="224" t="s">
        <v>229</v>
      </c>
      <c r="D268" s="92"/>
      <c r="E268" s="7">
        <f>SUM(E270)</f>
        <v>0</v>
      </c>
      <c r="F268" s="7">
        <f t="shared" ref="F268:H268" si="11">SUM(F270)</f>
        <v>0</v>
      </c>
      <c r="G268" s="7">
        <f t="shared" si="11"/>
        <v>2800</v>
      </c>
      <c r="H268" s="7">
        <f t="shared" si="11"/>
        <v>2361.8000000000002</v>
      </c>
      <c r="I268" s="7"/>
    </row>
    <row r="269" spans="2:9" ht="19.2" customHeight="1" x14ac:dyDescent="0.3">
      <c r="B269" s="294"/>
      <c r="C269" s="225" t="s">
        <v>114</v>
      </c>
      <c r="D269" s="93"/>
      <c r="E269" s="59"/>
      <c r="F269" s="59"/>
      <c r="G269" s="59"/>
      <c r="H269" s="59"/>
      <c r="I269" s="59"/>
    </row>
    <row r="270" spans="2:9" ht="19.2" customHeight="1" x14ac:dyDescent="0.3">
      <c r="B270" s="294"/>
      <c r="C270" s="226" t="s">
        <v>116</v>
      </c>
      <c r="D270" s="93"/>
      <c r="E270" s="59">
        <f>SUMIF($C179:$C259,$C246,E179:E259)</f>
        <v>0</v>
      </c>
      <c r="F270" s="59">
        <f>SUMIF($C179:$C259,$C246,F179:F259)</f>
        <v>0</v>
      </c>
      <c r="G270" s="59">
        <f>SUMIF($C179:$C259,$C246,G179:G259)</f>
        <v>2800</v>
      </c>
      <c r="H270" s="59">
        <f>SUMIF($C179:$C259,$C246,H179:H259)</f>
        <v>2361.8000000000002</v>
      </c>
      <c r="I270" s="59"/>
    </row>
    <row r="271" spans="2:9" ht="31.2" customHeight="1" x14ac:dyDescent="0.3">
      <c r="B271" s="82" t="s">
        <v>230</v>
      </c>
      <c r="C271" s="39" t="s">
        <v>231</v>
      </c>
      <c r="D271" s="40"/>
      <c r="E271" s="41"/>
      <c r="F271" s="41"/>
      <c r="G271" s="41"/>
      <c r="H271" s="41"/>
      <c r="I271" s="41"/>
    </row>
    <row r="272" spans="2:9" ht="31.2" customHeight="1" x14ac:dyDescent="0.3">
      <c r="B272" s="312" t="s">
        <v>232</v>
      </c>
      <c r="C272" s="13" t="s">
        <v>233</v>
      </c>
      <c r="D272" s="303" t="s">
        <v>16</v>
      </c>
      <c r="E272" s="59"/>
      <c r="F272" s="59"/>
      <c r="G272" s="59"/>
      <c r="H272" s="59"/>
      <c r="I272" s="59"/>
    </row>
    <row r="273" spans="2:9" ht="30.6" customHeight="1" x14ac:dyDescent="0.3">
      <c r="B273" s="313"/>
      <c r="C273" s="71" t="s">
        <v>18</v>
      </c>
      <c r="D273" s="374"/>
      <c r="E273" s="95">
        <f>252+7.4</f>
        <v>259.39999999999998</v>
      </c>
      <c r="F273" s="21">
        <v>270</v>
      </c>
      <c r="G273" s="21">
        <v>234</v>
      </c>
      <c r="H273" s="21">
        <v>180</v>
      </c>
      <c r="I273" s="59"/>
    </row>
    <row r="274" spans="2:9" ht="21" customHeight="1" x14ac:dyDescent="0.3">
      <c r="B274" s="314"/>
      <c r="C274" s="71" t="s">
        <v>21</v>
      </c>
      <c r="D274" s="374"/>
      <c r="E274" s="95">
        <v>15</v>
      </c>
      <c r="F274" s="95"/>
      <c r="G274" s="95"/>
      <c r="H274" s="95"/>
      <c r="I274" s="59"/>
    </row>
    <row r="275" spans="2:9" ht="30.6" customHeight="1" x14ac:dyDescent="0.3">
      <c r="B275" s="312" t="s">
        <v>234</v>
      </c>
      <c r="C275" s="8" t="s">
        <v>235</v>
      </c>
      <c r="D275" s="374"/>
      <c r="E275" s="21"/>
      <c r="F275" s="21"/>
      <c r="G275" s="21"/>
      <c r="H275" s="21"/>
      <c r="I275" s="21"/>
    </row>
    <row r="276" spans="2:9" ht="30.6" customHeight="1" x14ac:dyDescent="0.3">
      <c r="B276" s="313"/>
      <c r="C276" s="71" t="s">
        <v>18</v>
      </c>
      <c r="D276" s="374"/>
      <c r="E276" s="21">
        <f>265-15+185.5+10+1.8+4.8+29.4+16.1</f>
        <v>497.6</v>
      </c>
      <c r="F276" s="21">
        <v>497.6</v>
      </c>
      <c r="G276" s="21">
        <v>500</v>
      </c>
      <c r="H276" s="21">
        <v>500</v>
      </c>
      <c r="I276" s="59"/>
    </row>
    <row r="277" spans="2:9" ht="43.2" customHeight="1" x14ac:dyDescent="0.3">
      <c r="B277" s="312" t="s">
        <v>236</v>
      </c>
      <c r="C277" s="8" t="s">
        <v>237</v>
      </c>
      <c r="D277" s="374"/>
      <c r="E277" s="59"/>
      <c r="F277" s="59"/>
      <c r="G277" s="59"/>
      <c r="H277" s="59"/>
      <c r="I277" s="160"/>
    </row>
    <row r="278" spans="2:9" ht="30.6" customHeight="1" x14ac:dyDescent="0.3">
      <c r="B278" s="313"/>
      <c r="C278" s="71" t="s">
        <v>18</v>
      </c>
      <c r="D278" s="374"/>
      <c r="E278" s="21">
        <f>162.2+14.9</f>
        <v>177.1</v>
      </c>
      <c r="F278" s="21">
        <v>150</v>
      </c>
      <c r="G278" s="21">
        <v>152</v>
      </c>
      <c r="H278" s="21"/>
      <c r="I278" s="59"/>
    </row>
    <row r="279" spans="2:9" ht="56.4" customHeight="1" x14ac:dyDescent="0.3">
      <c r="B279" s="312" t="s">
        <v>238</v>
      </c>
      <c r="C279" s="13" t="s">
        <v>239</v>
      </c>
      <c r="D279" s="374"/>
      <c r="E279" s="59"/>
      <c r="F279" s="59"/>
      <c r="G279" s="59"/>
      <c r="H279" s="59"/>
      <c r="I279" s="59"/>
    </row>
    <row r="280" spans="2:9" ht="30.6" customHeight="1" x14ac:dyDescent="0.3">
      <c r="B280" s="313"/>
      <c r="C280" s="71" t="s">
        <v>18</v>
      </c>
      <c r="D280" s="58"/>
      <c r="E280" s="21">
        <v>50</v>
      </c>
      <c r="F280" s="21">
        <v>181</v>
      </c>
      <c r="G280" s="21"/>
      <c r="H280" s="21"/>
      <c r="I280" s="59"/>
    </row>
    <row r="281" spans="2:9" ht="30.6" customHeight="1" x14ac:dyDescent="0.3">
      <c r="B281" s="312" t="s">
        <v>240</v>
      </c>
      <c r="C281" s="8" t="s">
        <v>241</v>
      </c>
      <c r="D281" s="58"/>
      <c r="E281" s="21"/>
      <c r="F281" s="21"/>
      <c r="G281" s="21"/>
      <c r="H281" s="21"/>
      <c r="I281" s="59"/>
    </row>
    <row r="282" spans="2:9" ht="30.6" customHeight="1" x14ac:dyDescent="0.3">
      <c r="B282" s="313"/>
      <c r="C282" s="158" t="s">
        <v>18</v>
      </c>
      <c r="D282" s="58"/>
      <c r="E282" s="21">
        <v>87.4</v>
      </c>
      <c r="F282" s="21">
        <v>87.4</v>
      </c>
      <c r="G282" s="21">
        <v>87.4</v>
      </c>
      <c r="H282" s="21"/>
      <c r="I282" s="59"/>
    </row>
    <row r="283" spans="2:9" ht="30.6" customHeight="1" x14ac:dyDescent="0.3">
      <c r="B283" s="312" t="s">
        <v>242</v>
      </c>
      <c r="C283" s="75" t="s">
        <v>243</v>
      </c>
      <c r="D283" s="58"/>
      <c r="E283" s="21"/>
      <c r="F283" s="21"/>
      <c r="G283" s="21"/>
      <c r="H283" s="21"/>
      <c r="I283" s="59"/>
    </row>
    <row r="284" spans="2:9" ht="30.6" customHeight="1" x14ac:dyDescent="0.3">
      <c r="B284" s="313"/>
      <c r="C284" s="288" t="s">
        <v>18</v>
      </c>
      <c r="D284" s="58"/>
      <c r="E284" s="95">
        <v>100</v>
      </c>
      <c r="F284" s="21">
        <v>100</v>
      </c>
      <c r="G284" s="21"/>
      <c r="H284" s="21"/>
      <c r="I284" s="59"/>
    </row>
    <row r="285" spans="2:9" ht="16.5" customHeight="1" x14ac:dyDescent="0.3">
      <c r="B285" s="313"/>
      <c r="C285" s="71" t="s">
        <v>21</v>
      </c>
      <c r="D285" s="58"/>
      <c r="E285" s="436"/>
      <c r="F285" s="21"/>
      <c r="G285" s="21"/>
      <c r="H285" s="21"/>
      <c r="I285" s="59"/>
    </row>
    <row r="286" spans="2:9" ht="18" customHeight="1" x14ac:dyDescent="0.3">
      <c r="B286" s="313"/>
      <c r="C286" s="437" t="s">
        <v>19</v>
      </c>
      <c r="D286" s="58"/>
      <c r="E286" s="436">
        <v>68</v>
      </c>
      <c r="F286" s="21">
        <v>68</v>
      </c>
      <c r="G286" s="21"/>
      <c r="H286" s="21"/>
      <c r="I286" s="59"/>
    </row>
    <row r="287" spans="2:9" ht="18.75" customHeight="1" x14ac:dyDescent="0.3">
      <c r="B287" s="438" t="s">
        <v>244</v>
      </c>
      <c r="C287" s="221" t="s">
        <v>245</v>
      </c>
      <c r="D287" s="439"/>
      <c r="E287" s="21"/>
      <c r="F287" s="21"/>
      <c r="G287" s="21"/>
      <c r="H287" s="21"/>
      <c r="I287" s="59"/>
    </row>
    <row r="288" spans="2:9" ht="30.6" customHeight="1" x14ac:dyDescent="0.3">
      <c r="B288" s="438"/>
      <c r="C288" s="440" t="s">
        <v>18</v>
      </c>
      <c r="D288" s="441"/>
      <c r="E288" s="283"/>
      <c r="F288" s="283">
        <v>294.5</v>
      </c>
      <c r="G288" s="283"/>
      <c r="H288" s="283"/>
      <c r="I288" s="159"/>
    </row>
    <row r="289" spans="2:9" ht="21" customHeight="1" x14ac:dyDescent="0.3">
      <c r="B289" s="213"/>
      <c r="C289" s="214" t="s">
        <v>106</v>
      </c>
      <c r="D289" s="170"/>
      <c r="E289" s="164">
        <f>SUM(E291:E293)</f>
        <v>1254.5</v>
      </c>
      <c r="F289" s="164">
        <f t="shared" ref="F289:H289" si="12">SUM(F291:F293)</f>
        <v>1648.5</v>
      </c>
      <c r="G289" s="164">
        <f t="shared" si="12"/>
        <v>973.4</v>
      </c>
      <c r="H289" s="164">
        <f t="shared" si="12"/>
        <v>680</v>
      </c>
      <c r="I289" s="164"/>
    </row>
    <row r="290" spans="2:9" ht="16.5" customHeight="1" x14ac:dyDescent="0.3">
      <c r="B290" s="338"/>
      <c r="C290" s="176" t="s">
        <v>107</v>
      </c>
      <c r="D290" s="442"/>
      <c r="E290" s="166"/>
      <c r="F290" s="162"/>
      <c r="G290" s="162"/>
      <c r="H290" s="162"/>
      <c r="I290" s="162"/>
    </row>
    <row r="291" spans="2:9" ht="27.75" customHeight="1" x14ac:dyDescent="0.3">
      <c r="B291" s="338"/>
      <c r="C291" s="176" t="s">
        <v>108</v>
      </c>
      <c r="D291" s="442"/>
      <c r="E291" s="167">
        <f>SUMIF($C$272:$C$288,$C$288,E272:E288)</f>
        <v>1171.5</v>
      </c>
      <c r="F291" s="167">
        <f>SUMIF($C$272:$C$288,$C$288,F272:F288)</f>
        <v>1580.5</v>
      </c>
      <c r="G291" s="167">
        <f>SUMIF($C$272:$C$288,$C$288,G272:G288)</f>
        <v>973.4</v>
      </c>
      <c r="H291" s="167">
        <f>SUMIF($C$272:$C$288,$C$288,H272:H288)</f>
        <v>680</v>
      </c>
      <c r="I291" s="162"/>
    </row>
    <row r="292" spans="2:9" ht="18" customHeight="1" x14ac:dyDescent="0.3">
      <c r="B292" s="338"/>
      <c r="C292" s="212" t="s">
        <v>109</v>
      </c>
      <c r="D292" s="442"/>
      <c r="E292" s="167">
        <f>SUMIF($C$273:$C$288,$C$286,E273:E288)</f>
        <v>68</v>
      </c>
      <c r="F292" s="167">
        <f>SUMIF($C$273:$C$288,$C$286,F273:F288)</f>
        <v>68</v>
      </c>
      <c r="G292" s="167">
        <f>SUMIF($C$273:$C$288,$C$286,G273:G288)</f>
        <v>0</v>
      </c>
      <c r="H292" s="167">
        <f>SUMIF($C$273:$C$288,$C$286,H273:H288)</f>
        <v>0</v>
      </c>
      <c r="I292" s="162"/>
    </row>
    <row r="293" spans="2:9" ht="21" customHeight="1" x14ac:dyDescent="0.3">
      <c r="B293" s="338"/>
      <c r="C293" s="212" t="s">
        <v>112</v>
      </c>
      <c r="D293" s="443"/>
      <c r="E293" s="210">
        <f>SUMIF($C$272:$C$288,$C$274,E272:E288)</f>
        <v>15</v>
      </c>
      <c r="F293" s="211">
        <f>SUMIF($C$272:$C$288,$C$274,F272:F288)</f>
        <v>0</v>
      </c>
      <c r="G293" s="211">
        <f>SUMIF($C$272:$C$288,$C$274,G272:G288)</f>
        <v>0</v>
      </c>
      <c r="H293" s="211">
        <f>SUMIF($C$272:$C$288,$C$274,H272:H288)</f>
        <v>0</v>
      </c>
      <c r="I293" s="59"/>
    </row>
    <row r="294" spans="2:9" ht="21" customHeight="1" x14ac:dyDescent="0.3">
      <c r="B294" s="444" t="s">
        <v>246</v>
      </c>
      <c r="C294" s="445" t="s">
        <v>247</v>
      </c>
      <c r="D294" s="208"/>
      <c r="E294" s="446"/>
      <c r="F294" s="446"/>
      <c r="G294" s="446"/>
      <c r="H294" s="446"/>
      <c r="I294" s="209"/>
    </row>
    <row r="295" spans="2:9" ht="28.2" customHeight="1" x14ac:dyDescent="0.3">
      <c r="B295" s="447" t="s">
        <v>248</v>
      </c>
      <c r="C295" s="448" t="s">
        <v>249</v>
      </c>
      <c r="D295" s="303" t="s">
        <v>16</v>
      </c>
      <c r="E295" s="383"/>
      <c r="F295" s="383"/>
      <c r="G295" s="383"/>
      <c r="H295" s="383"/>
      <c r="I295" s="160"/>
    </row>
    <row r="296" spans="2:9" ht="30.6" customHeight="1" x14ac:dyDescent="0.3">
      <c r="B296" s="294"/>
      <c r="C296" s="91" t="s">
        <v>18</v>
      </c>
      <c r="D296" s="374"/>
      <c r="E296" s="21">
        <v>0</v>
      </c>
      <c r="F296" s="21">
        <v>80.8</v>
      </c>
      <c r="G296" s="21">
        <v>72.099999999999994</v>
      </c>
      <c r="H296" s="21">
        <v>54.3</v>
      </c>
      <c r="I296" s="59"/>
    </row>
    <row r="297" spans="2:9" ht="27.75" customHeight="1" x14ac:dyDescent="0.3">
      <c r="B297" s="447" t="s">
        <v>250</v>
      </c>
      <c r="C297" s="431" t="s">
        <v>251</v>
      </c>
      <c r="D297" s="374"/>
      <c r="E297" s="21"/>
      <c r="F297" s="21"/>
      <c r="G297" s="21"/>
      <c r="H297" s="21"/>
      <c r="I297" s="59"/>
    </row>
    <row r="298" spans="2:9" ht="30.6" customHeight="1" x14ac:dyDescent="0.3">
      <c r="B298" s="292"/>
      <c r="C298" s="259" t="s">
        <v>18</v>
      </c>
      <c r="D298" s="374"/>
      <c r="E298" s="21">
        <v>202.8</v>
      </c>
      <c r="F298" s="21">
        <v>426.3</v>
      </c>
      <c r="G298" s="21">
        <v>360.5</v>
      </c>
      <c r="H298" s="21">
        <v>360.5</v>
      </c>
      <c r="I298" s="59"/>
    </row>
    <row r="299" spans="2:9" ht="21" customHeight="1" x14ac:dyDescent="0.3">
      <c r="B299" s="361" t="s">
        <v>252</v>
      </c>
      <c r="C299" s="8" t="s">
        <v>253</v>
      </c>
      <c r="D299" s="374"/>
      <c r="E299" s="59"/>
      <c r="F299" s="59"/>
      <c r="G299" s="59"/>
      <c r="H299" s="59"/>
      <c r="I299" s="21" t="s">
        <v>156</v>
      </c>
    </row>
    <row r="300" spans="2:9" ht="30.6" customHeight="1" x14ac:dyDescent="0.3">
      <c r="B300" s="363"/>
      <c r="C300" s="71" t="s">
        <v>18</v>
      </c>
      <c r="D300" s="374"/>
      <c r="E300" s="21">
        <v>19</v>
      </c>
      <c r="F300" s="21">
        <v>18</v>
      </c>
      <c r="G300" s="21">
        <v>48</v>
      </c>
      <c r="H300" s="21">
        <v>48</v>
      </c>
      <c r="I300" s="59"/>
    </row>
    <row r="301" spans="2:9" ht="15.6" customHeight="1" x14ac:dyDescent="0.3">
      <c r="B301" s="86"/>
      <c r="C301" s="6" t="s">
        <v>106</v>
      </c>
      <c r="D301" s="87"/>
      <c r="E301" s="7">
        <f>SUM(E303:E303)</f>
        <v>221.8</v>
      </c>
      <c r="F301" s="7">
        <f>SUM(F303:F303)</f>
        <v>525.1</v>
      </c>
      <c r="G301" s="7">
        <f>SUM(G303:G303)</f>
        <v>480.6</v>
      </c>
      <c r="H301" s="7">
        <f>SUM(H303:H303)</f>
        <v>462.8</v>
      </c>
      <c r="I301" s="89"/>
    </row>
    <row r="302" spans="2:9" ht="15.6" customHeight="1" x14ac:dyDescent="0.3">
      <c r="B302" s="299"/>
      <c r="C302" s="8" t="s">
        <v>107</v>
      </c>
      <c r="D302" s="15"/>
      <c r="E302" s="3"/>
      <c r="F302" s="3"/>
      <c r="G302" s="3"/>
      <c r="H302" s="3"/>
      <c r="I302" s="3"/>
    </row>
    <row r="303" spans="2:9" ht="29.4" customHeight="1" x14ac:dyDescent="0.3">
      <c r="B303" s="305"/>
      <c r="C303" s="8" t="s">
        <v>108</v>
      </c>
      <c r="D303" s="15"/>
      <c r="E303" s="3">
        <f>SUMIF($C$295:$C$300,$C$296,E295:E300)</f>
        <v>221.8</v>
      </c>
      <c r="F303" s="3">
        <f>SUMIF($C$295:$C$300,$C$296,F295:F300)</f>
        <v>525.1</v>
      </c>
      <c r="G303" s="3">
        <f>SUMIF($C$295:$C$300,$C$296,G295:G300)</f>
        <v>480.6</v>
      </c>
      <c r="H303" s="3">
        <f>SUMIF($C$295:$C$300,$C$296,H295:H300)</f>
        <v>462.8</v>
      </c>
      <c r="I303" s="72"/>
    </row>
    <row r="304" spans="2:9" ht="32.25" customHeight="1" x14ac:dyDescent="0.3">
      <c r="B304" s="37" t="s">
        <v>254</v>
      </c>
      <c r="C304" s="38" t="s">
        <v>255</v>
      </c>
      <c r="D304" s="38"/>
      <c r="E304" s="52"/>
      <c r="F304" s="52"/>
      <c r="G304" s="52"/>
      <c r="H304" s="52"/>
      <c r="I304" s="38"/>
    </row>
    <row r="305" spans="2:9" ht="20.399999999999999" customHeight="1" x14ac:dyDescent="0.3">
      <c r="B305" s="82" t="s">
        <v>256</v>
      </c>
      <c r="C305" s="39" t="s">
        <v>257</v>
      </c>
      <c r="D305" s="40"/>
      <c r="E305" s="41"/>
      <c r="F305" s="41"/>
      <c r="G305" s="41"/>
      <c r="H305" s="41"/>
      <c r="I305" s="41"/>
    </row>
    <row r="306" spans="2:9" ht="33" customHeight="1" x14ac:dyDescent="0.3">
      <c r="B306" s="299" t="s">
        <v>258</v>
      </c>
      <c r="C306" s="8" t="s">
        <v>259</v>
      </c>
      <c r="D306" s="303" t="s">
        <v>16</v>
      </c>
      <c r="E306" s="3"/>
      <c r="F306" s="3"/>
      <c r="G306" s="3"/>
      <c r="H306" s="3"/>
      <c r="I306" s="61"/>
    </row>
    <row r="307" spans="2:9" ht="30.6" customHeight="1" x14ac:dyDescent="0.3">
      <c r="B307" s="305"/>
      <c r="C307" s="71" t="s">
        <v>18</v>
      </c>
      <c r="D307" s="374"/>
      <c r="E307" s="2">
        <f>12.7+54.5</f>
        <v>67.2</v>
      </c>
      <c r="F307" s="2">
        <v>36.5</v>
      </c>
      <c r="G307" s="2">
        <v>30</v>
      </c>
      <c r="H307" s="2">
        <v>30</v>
      </c>
      <c r="I307" s="3"/>
    </row>
    <row r="308" spans="2:9" ht="19.2" customHeight="1" x14ac:dyDescent="0.3">
      <c r="B308" s="299" t="s">
        <v>260</v>
      </c>
      <c r="C308" s="8" t="s">
        <v>261</v>
      </c>
      <c r="D308" s="374"/>
      <c r="E308" s="21"/>
      <c r="F308" s="21"/>
      <c r="G308" s="21"/>
      <c r="H308" s="21"/>
      <c r="I308" s="61"/>
    </row>
    <row r="309" spans="2:9" ht="31.2" customHeight="1" x14ac:dyDescent="0.3">
      <c r="B309" s="305"/>
      <c r="C309" s="71" t="s">
        <v>18</v>
      </c>
      <c r="D309" s="374"/>
      <c r="E309" s="21">
        <f>35.3+110.8</f>
        <v>146.1</v>
      </c>
      <c r="F309" s="21">
        <v>157.9</v>
      </c>
      <c r="G309" s="21">
        <v>50</v>
      </c>
      <c r="H309" s="21">
        <v>50</v>
      </c>
      <c r="I309" s="61"/>
    </row>
    <row r="310" spans="2:9" ht="29.25" customHeight="1" x14ac:dyDescent="0.3">
      <c r="B310" s="299" t="s">
        <v>262</v>
      </c>
      <c r="C310" s="13" t="s">
        <v>263</v>
      </c>
      <c r="D310" s="374"/>
      <c r="E310" s="59"/>
      <c r="F310" s="59"/>
      <c r="G310" s="59"/>
      <c r="H310" s="59"/>
      <c r="I310" s="61"/>
    </row>
    <row r="311" spans="2:9" ht="16.5" customHeight="1" x14ac:dyDescent="0.3">
      <c r="B311" s="305"/>
      <c r="C311" s="50" t="s">
        <v>21</v>
      </c>
      <c r="D311" s="374"/>
      <c r="E311" s="49">
        <f>600-64.8+462.6</f>
        <v>997.80000000000007</v>
      </c>
      <c r="F311" s="49"/>
      <c r="G311" s="16"/>
      <c r="H311" s="16"/>
      <c r="I311" s="72"/>
    </row>
    <row r="312" spans="2:9" ht="52.8" x14ac:dyDescent="0.3">
      <c r="B312" s="299" t="s">
        <v>264</v>
      </c>
      <c r="C312" s="13" t="s">
        <v>265</v>
      </c>
      <c r="D312" s="287"/>
      <c r="E312" s="59"/>
      <c r="F312" s="59"/>
      <c r="G312" s="59"/>
      <c r="H312" s="59"/>
      <c r="I312" s="61"/>
    </row>
    <row r="313" spans="2:9" ht="30" customHeight="1" x14ac:dyDescent="0.3">
      <c r="B313" s="305"/>
      <c r="C313" s="71" t="s">
        <v>18</v>
      </c>
      <c r="D313" s="228"/>
      <c r="E313" s="49"/>
      <c r="F313" s="49">
        <f>628-328</f>
        <v>300</v>
      </c>
      <c r="G313" s="49">
        <v>328</v>
      </c>
      <c r="H313" s="16"/>
      <c r="I313" s="72"/>
    </row>
    <row r="314" spans="2:9" ht="42.6" customHeight="1" x14ac:dyDescent="0.3">
      <c r="B314" s="312" t="s">
        <v>266</v>
      </c>
      <c r="C314" s="13" t="s">
        <v>267</v>
      </c>
      <c r="D314" s="228"/>
      <c r="E314" s="59"/>
      <c r="F314" s="59"/>
      <c r="G314" s="59"/>
      <c r="H314" s="59"/>
      <c r="I314" s="59"/>
    </row>
    <row r="315" spans="2:9" ht="32.25" customHeight="1" x14ac:dyDescent="0.3">
      <c r="B315" s="360"/>
      <c r="C315" s="249" t="s">
        <v>18</v>
      </c>
      <c r="D315" s="250"/>
      <c r="E315" s="251">
        <v>156</v>
      </c>
      <c r="F315" s="251">
        <v>160</v>
      </c>
      <c r="G315" s="251">
        <v>226.4</v>
      </c>
      <c r="H315" s="251">
        <v>75.2</v>
      </c>
      <c r="I315" s="252"/>
    </row>
    <row r="316" spans="2:9" ht="19.2" customHeight="1" x14ac:dyDescent="0.3">
      <c r="B316" s="253"/>
      <c r="C316" s="116" t="s">
        <v>106</v>
      </c>
      <c r="D316" s="28"/>
      <c r="E316" s="26">
        <f>SUM(E306:E315)</f>
        <v>1367.1000000000001</v>
      </c>
      <c r="F316" s="26">
        <f t="shared" ref="F316:H316" si="13">SUM(F306:F315)</f>
        <v>654.4</v>
      </c>
      <c r="G316" s="26">
        <f t="shared" si="13"/>
        <v>634.4</v>
      </c>
      <c r="H316" s="26">
        <f t="shared" si="13"/>
        <v>155.19999999999999</v>
      </c>
      <c r="I316" s="111"/>
    </row>
    <row r="317" spans="2:9" ht="18" customHeight="1" x14ac:dyDescent="0.3">
      <c r="B317" s="333"/>
      <c r="C317" s="8" t="s">
        <v>107</v>
      </c>
      <c r="D317" s="18"/>
      <c r="E317" s="19"/>
      <c r="F317" s="19"/>
      <c r="G317" s="19"/>
      <c r="H317" s="19"/>
      <c r="I317" s="72"/>
    </row>
    <row r="318" spans="2:9" ht="28.95" customHeight="1" x14ac:dyDescent="0.3">
      <c r="B318" s="335"/>
      <c r="C318" s="8" t="s">
        <v>108</v>
      </c>
      <c r="D318" s="18"/>
      <c r="E318" s="9">
        <f>SUMIF($C$306:$C$315,$C$307,E306:E315)</f>
        <v>369.3</v>
      </c>
      <c r="F318" s="9">
        <f>SUMIF($C$306:$C$315,$C$307,F306:F315)</f>
        <v>654.4</v>
      </c>
      <c r="G318" s="9">
        <f>SUMIF($C$306:$C$315,$C$307,G306:G315)</f>
        <v>634.4</v>
      </c>
      <c r="H318" s="9">
        <f>SUMIF($C$306:$C$315,$C$307,H306:H315)</f>
        <v>155.19999999999999</v>
      </c>
      <c r="I318" s="72"/>
    </row>
    <row r="319" spans="2:9" ht="19.2" customHeight="1" x14ac:dyDescent="0.3">
      <c r="B319" s="334"/>
      <c r="C319" s="8" t="s">
        <v>112</v>
      </c>
      <c r="D319" s="18"/>
      <c r="E319" s="9">
        <f>SUMIF($C$306:$C$315,$C$311,E306:E315)</f>
        <v>997.80000000000007</v>
      </c>
      <c r="F319" s="9">
        <f>SUMIF($C$306:$C$315,$C$311,F306:F315)</f>
        <v>0</v>
      </c>
      <c r="G319" s="9">
        <f>SUMIF($C$306:$C$315,$C$311,G306:G315)</f>
        <v>0</v>
      </c>
      <c r="H319" s="9">
        <f>SUMIF($C$306:$C$315,$C$311,H306:H315)</f>
        <v>0</v>
      </c>
      <c r="I319" s="72"/>
    </row>
    <row r="320" spans="2:9" ht="31.95" customHeight="1" x14ac:dyDescent="0.3">
      <c r="B320" s="82" t="s">
        <v>268</v>
      </c>
      <c r="C320" s="39" t="s">
        <v>269</v>
      </c>
      <c r="D320" s="40"/>
      <c r="E320" s="46"/>
      <c r="F320" s="46"/>
      <c r="G320" s="46"/>
      <c r="H320" s="46"/>
      <c r="I320" s="97"/>
    </row>
    <row r="321" spans="2:9" ht="39" customHeight="1" x14ac:dyDescent="0.3">
      <c r="B321" s="299" t="s">
        <v>270</v>
      </c>
      <c r="C321" s="8" t="s">
        <v>271</v>
      </c>
      <c r="D321" s="364" t="s">
        <v>272</v>
      </c>
      <c r="E321" s="16"/>
      <c r="F321" s="16"/>
      <c r="G321" s="16"/>
      <c r="H321" s="16"/>
      <c r="I321" s="72"/>
    </row>
    <row r="322" spans="2:9" ht="101.25" customHeight="1" x14ac:dyDescent="0.3">
      <c r="B322" s="300"/>
      <c r="C322" s="71" t="s">
        <v>18</v>
      </c>
      <c r="D322" s="302"/>
      <c r="E322" s="49">
        <v>100</v>
      </c>
      <c r="F322" s="49"/>
      <c r="G322" s="49"/>
      <c r="H322" s="49"/>
      <c r="I322" s="72"/>
    </row>
    <row r="323" spans="2:9" ht="29.4" customHeight="1" x14ac:dyDescent="0.3">
      <c r="B323" s="299" t="s">
        <v>273</v>
      </c>
      <c r="C323" s="8" t="s">
        <v>274</v>
      </c>
      <c r="D323" s="301" t="s">
        <v>93</v>
      </c>
      <c r="E323" s="16"/>
      <c r="F323" s="16"/>
      <c r="G323" s="16"/>
      <c r="H323" s="16"/>
      <c r="I323" s="72"/>
    </row>
    <row r="324" spans="2:9" ht="27.6" customHeight="1" x14ac:dyDescent="0.3">
      <c r="B324" s="305"/>
      <c r="C324" s="71" t="s">
        <v>18</v>
      </c>
      <c r="D324" s="364"/>
      <c r="E324" s="16">
        <v>141</v>
      </c>
      <c r="F324" s="16"/>
      <c r="G324" s="16"/>
      <c r="H324" s="16"/>
      <c r="I324" s="72"/>
    </row>
    <row r="325" spans="2:9" ht="18" customHeight="1" x14ac:dyDescent="0.3">
      <c r="B325" s="300"/>
      <c r="C325" s="71" t="s">
        <v>21</v>
      </c>
      <c r="D325" s="364"/>
      <c r="E325" s="16">
        <v>15</v>
      </c>
      <c r="F325" s="49">
        <v>141</v>
      </c>
      <c r="G325" s="49"/>
      <c r="H325" s="49"/>
      <c r="I325" s="72"/>
    </row>
    <row r="326" spans="2:9" ht="19.95" customHeight="1" x14ac:dyDescent="0.3">
      <c r="B326" s="299" t="s">
        <v>275</v>
      </c>
      <c r="C326" s="8" t="s">
        <v>276</v>
      </c>
      <c r="D326" s="364"/>
      <c r="E326" s="16"/>
      <c r="F326" s="49"/>
      <c r="G326" s="49"/>
      <c r="H326" s="49"/>
      <c r="I326" s="61" t="s">
        <v>70</v>
      </c>
    </row>
    <row r="327" spans="2:9" ht="19.95" customHeight="1" x14ac:dyDescent="0.3">
      <c r="B327" s="300"/>
      <c r="C327" s="71" t="s">
        <v>21</v>
      </c>
      <c r="D327" s="364"/>
      <c r="E327" s="16">
        <v>35</v>
      </c>
      <c r="F327" s="49"/>
      <c r="G327" s="49"/>
      <c r="H327" s="49"/>
      <c r="I327" s="72"/>
    </row>
    <row r="328" spans="2:9" ht="20.399999999999999" customHeight="1" x14ac:dyDescent="0.3">
      <c r="B328" s="340" t="s">
        <v>277</v>
      </c>
      <c r="C328" s="13" t="s">
        <v>278</v>
      </c>
      <c r="D328" s="364"/>
      <c r="E328" s="16"/>
      <c r="F328" s="49"/>
      <c r="G328" s="49"/>
      <c r="H328" s="49"/>
      <c r="I328" s="72"/>
    </row>
    <row r="329" spans="2:9" ht="27.75" customHeight="1" x14ac:dyDescent="0.3">
      <c r="B329" s="341"/>
      <c r="C329" s="50" t="s">
        <v>18</v>
      </c>
      <c r="D329" s="302"/>
      <c r="E329" s="16">
        <v>60</v>
      </c>
      <c r="F329" s="49">
        <v>60</v>
      </c>
      <c r="G329" s="49">
        <v>60</v>
      </c>
      <c r="H329" s="49">
        <v>60</v>
      </c>
      <c r="I329" s="72"/>
    </row>
    <row r="330" spans="2:9" ht="18.75" customHeight="1" x14ac:dyDescent="0.3">
      <c r="B330" s="342"/>
      <c r="C330" s="108" t="s">
        <v>21</v>
      </c>
      <c r="D330" s="290"/>
      <c r="E330" s="16"/>
      <c r="F330" s="49">
        <v>51.8</v>
      </c>
      <c r="G330" s="49"/>
      <c r="H330" s="49"/>
      <c r="I330" s="72"/>
    </row>
    <row r="331" spans="2:9" ht="18.75" customHeight="1" x14ac:dyDescent="0.3">
      <c r="B331" s="96"/>
      <c r="C331" s="6" t="s">
        <v>106</v>
      </c>
      <c r="D331" s="17"/>
      <c r="E331" s="10">
        <f>SUM(E333:E334)</f>
        <v>351</v>
      </c>
      <c r="F331" s="10">
        <f t="shared" ref="F331:H331" si="14">SUM(F333:F334)</f>
        <v>252.8</v>
      </c>
      <c r="G331" s="10">
        <f t="shared" si="14"/>
        <v>60</v>
      </c>
      <c r="H331" s="10">
        <f t="shared" si="14"/>
        <v>60</v>
      </c>
      <c r="I331" s="89"/>
    </row>
    <row r="332" spans="2:9" ht="15" customHeight="1" x14ac:dyDescent="0.3">
      <c r="B332" s="333"/>
      <c r="C332" s="8" t="s">
        <v>107</v>
      </c>
      <c r="D332" s="18"/>
      <c r="E332" s="45"/>
      <c r="F332" s="45"/>
      <c r="G332" s="45"/>
      <c r="H332" s="45"/>
      <c r="I332" s="72"/>
    </row>
    <row r="333" spans="2:9" ht="29.4" customHeight="1" x14ac:dyDescent="0.3">
      <c r="B333" s="335"/>
      <c r="C333" s="8" t="s">
        <v>108</v>
      </c>
      <c r="D333" s="44"/>
      <c r="E333" s="98">
        <f>SUMIF(C321:C330,C322,E321:E330)</f>
        <v>301</v>
      </c>
      <c r="F333" s="98">
        <f>SUMIF(C321:C330,C322,F321:F330)</f>
        <v>60</v>
      </c>
      <c r="G333" s="98">
        <f>SUMIF(C321:C330,C322,G321:G330)</f>
        <v>60</v>
      </c>
      <c r="H333" s="98">
        <f>SUMIF(C321:C330,C322,H321:H330)</f>
        <v>60</v>
      </c>
      <c r="I333" s="72"/>
    </row>
    <row r="334" spans="2:9" ht="16.95" customHeight="1" x14ac:dyDescent="0.3">
      <c r="B334" s="334"/>
      <c r="C334" s="8" t="s">
        <v>112</v>
      </c>
      <c r="D334" s="44"/>
      <c r="E334" s="47">
        <f>SUMIF(C321:C330,C327,E321:E330)</f>
        <v>50</v>
      </c>
      <c r="F334" s="123">
        <f>SUMIF(C321:C330,C327,F321:F330)</f>
        <v>192.8</v>
      </c>
      <c r="G334" s="123">
        <f>SUMIF(C321:C330,C327,G321:G330)</f>
        <v>0</v>
      </c>
      <c r="H334" s="123">
        <f>SUMIF(C321:C330,C327,H321:H330)</f>
        <v>0</v>
      </c>
      <c r="I334" s="72"/>
    </row>
    <row r="335" spans="2:9" ht="28.95" customHeight="1" x14ac:dyDescent="0.3">
      <c r="B335" s="37" t="s">
        <v>279</v>
      </c>
      <c r="C335" s="38" t="s">
        <v>280</v>
      </c>
      <c r="D335" s="99"/>
      <c r="E335" s="122"/>
      <c r="F335" s="52"/>
      <c r="G335" s="52"/>
      <c r="H335" s="52"/>
      <c r="I335" s="38"/>
    </row>
    <row r="336" spans="2:9" ht="30" customHeight="1" x14ac:dyDescent="0.3">
      <c r="B336" s="100" t="s">
        <v>281</v>
      </c>
      <c r="C336" s="39" t="s">
        <v>282</v>
      </c>
      <c r="D336" s="22"/>
      <c r="E336" s="30"/>
      <c r="F336" s="30"/>
      <c r="G336" s="30"/>
      <c r="H336" s="30"/>
      <c r="I336" s="97"/>
    </row>
    <row r="337" spans="2:9" ht="16.95" customHeight="1" x14ac:dyDescent="0.3">
      <c r="B337" s="333" t="s">
        <v>283</v>
      </c>
      <c r="C337" s="8" t="s">
        <v>284</v>
      </c>
      <c r="D337" s="18"/>
      <c r="E337" s="9"/>
      <c r="F337" s="9"/>
      <c r="G337" s="9"/>
      <c r="H337" s="9"/>
      <c r="I337" s="72"/>
    </row>
    <row r="338" spans="2:9" ht="27.6" customHeight="1" x14ac:dyDescent="0.3">
      <c r="B338" s="335"/>
      <c r="C338" s="50" t="s">
        <v>18</v>
      </c>
      <c r="D338" s="343" t="s">
        <v>46</v>
      </c>
      <c r="E338" s="2">
        <f>1038-24+67</f>
        <v>1081</v>
      </c>
      <c r="F338" s="154">
        <v>635</v>
      </c>
      <c r="G338" s="155">
        <v>660</v>
      </c>
      <c r="H338" s="155">
        <v>630</v>
      </c>
      <c r="I338" s="72"/>
    </row>
    <row r="339" spans="2:9" ht="22.2" customHeight="1" x14ac:dyDescent="0.3">
      <c r="B339" s="335"/>
      <c r="C339" s="101" t="s">
        <v>21</v>
      </c>
      <c r="D339" s="344"/>
      <c r="E339" s="449">
        <v>40</v>
      </c>
      <c r="F339" s="147" t="s">
        <v>103</v>
      </c>
      <c r="G339" s="148" t="s">
        <v>103</v>
      </c>
      <c r="H339" s="148" t="s">
        <v>103</v>
      </c>
      <c r="I339" s="102"/>
    </row>
    <row r="340" spans="2:9" ht="31.5" customHeight="1" x14ac:dyDescent="0.3">
      <c r="B340" s="335"/>
      <c r="C340" s="50" t="s">
        <v>18</v>
      </c>
      <c r="D340" s="343" t="s">
        <v>285</v>
      </c>
      <c r="E340" s="450">
        <f>18.1+5+280.3</f>
        <v>303.40000000000003</v>
      </c>
      <c r="F340" s="161"/>
      <c r="G340" s="149" t="s">
        <v>103</v>
      </c>
      <c r="H340" s="149" t="s">
        <v>103</v>
      </c>
      <c r="I340" s="121"/>
    </row>
    <row r="341" spans="2:9" ht="84" customHeight="1" x14ac:dyDescent="0.3">
      <c r="B341" s="334"/>
      <c r="C341" s="103" t="s">
        <v>21</v>
      </c>
      <c r="D341" s="451"/>
      <c r="E341" s="452">
        <v>19</v>
      </c>
      <c r="F341" s="145" t="s">
        <v>103</v>
      </c>
      <c r="G341" s="146" t="s">
        <v>103</v>
      </c>
      <c r="H341" s="146" t="s">
        <v>103</v>
      </c>
      <c r="I341" s="104"/>
    </row>
    <row r="342" spans="2:9" ht="21.6" customHeight="1" x14ac:dyDescent="0.3">
      <c r="B342" s="333" t="s">
        <v>286</v>
      </c>
      <c r="C342" s="105" t="s">
        <v>287</v>
      </c>
      <c r="D342" s="349" t="s">
        <v>46</v>
      </c>
      <c r="E342" s="32"/>
      <c r="F342" s="453" t="s">
        <v>103</v>
      </c>
      <c r="G342" s="144" t="s">
        <v>103</v>
      </c>
      <c r="H342" s="144" t="s">
        <v>103</v>
      </c>
      <c r="I342" s="104"/>
    </row>
    <row r="343" spans="2:9" ht="29.4" customHeight="1" x14ac:dyDescent="0.3">
      <c r="B343" s="335"/>
      <c r="C343" s="71" t="s">
        <v>18</v>
      </c>
      <c r="D343" s="350"/>
      <c r="E343" s="48">
        <f>37+3.7</f>
        <v>40.700000000000003</v>
      </c>
      <c r="F343" s="145">
        <v>93.7</v>
      </c>
      <c r="G343" s="151">
        <v>50</v>
      </c>
      <c r="H343" s="151">
        <v>50</v>
      </c>
      <c r="I343" s="104"/>
    </row>
    <row r="344" spans="2:9" ht="30" customHeight="1" x14ac:dyDescent="0.3">
      <c r="B344" s="333" t="s">
        <v>288</v>
      </c>
      <c r="C344" s="8" t="s">
        <v>289</v>
      </c>
      <c r="D344" s="350"/>
      <c r="E344" s="32"/>
      <c r="F344" s="453" t="s">
        <v>103</v>
      </c>
      <c r="G344" s="144" t="s">
        <v>103</v>
      </c>
      <c r="H344" s="144" t="s">
        <v>103</v>
      </c>
      <c r="I344" s="104"/>
    </row>
    <row r="345" spans="2:9" ht="31.95" customHeight="1" x14ac:dyDescent="0.3">
      <c r="B345" s="334"/>
      <c r="C345" s="71" t="s">
        <v>18</v>
      </c>
      <c r="D345" s="350"/>
      <c r="E345" s="48">
        <v>170</v>
      </c>
      <c r="F345" s="150">
        <f>190+62</f>
        <v>252</v>
      </c>
      <c r="G345" s="151">
        <f>190+65</f>
        <v>255</v>
      </c>
      <c r="H345" s="151">
        <v>255</v>
      </c>
      <c r="I345" s="104"/>
    </row>
    <row r="346" spans="2:9" ht="28.2" customHeight="1" x14ac:dyDescent="0.3">
      <c r="B346" s="333" t="s">
        <v>290</v>
      </c>
      <c r="C346" s="8" t="s">
        <v>291</v>
      </c>
      <c r="D346" s="350"/>
      <c r="E346" s="32"/>
      <c r="F346" s="454" t="s">
        <v>103</v>
      </c>
      <c r="G346" s="153" t="s">
        <v>103</v>
      </c>
      <c r="H346" s="153" t="s">
        <v>103</v>
      </c>
      <c r="I346" s="104"/>
    </row>
    <row r="347" spans="2:9" ht="31.95" customHeight="1" x14ac:dyDescent="0.3">
      <c r="B347" s="335"/>
      <c r="C347" s="71" t="s">
        <v>18</v>
      </c>
      <c r="D347" s="350"/>
      <c r="E347" s="48">
        <f>178-5</f>
        <v>173</v>
      </c>
      <c r="F347" s="150">
        <v>59</v>
      </c>
      <c r="G347" s="151">
        <v>59</v>
      </c>
      <c r="H347" s="151">
        <v>59</v>
      </c>
      <c r="I347" s="104"/>
    </row>
    <row r="348" spans="2:9" ht="20.25" customHeight="1" x14ac:dyDescent="0.3">
      <c r="B348" s="334"/>
      <c r="C348" s="103" t="s">
        <v>21</v>
      </c>
      <c r="D348" s="350"/>
      <c r="E348" s="48"/>
      <c r="F348" s="150">
        <v>69.400000000000006</v>
      </c>
      <c r="G348" s="151"/>
      <c r="H348" s="151"/>
      <c r="I348" s="104"/>
    </row>
    <row r="349" spans="2:9" ht="19.2" customHeight="1" x14ac:dyDescent="0.3">
      <c r="B349" s="333" t="s">
        <v>292</v>
      </c>
      <c r="C349" s="8" t="s">
        <v>293</v>
      </c>
      <c r="D349" s="350"/>
      <c r="E349" s="32" t="s">
        <v>103</v>
      </c>
      <c r="F349" s="453" t="s">
        <v>103</v>
      </c>
      <c r="G349" s="144" t="s">
        <v>103</v>
      </c>
      <c r="H349" s="144" t="s">
        <v>103</v>
      </c>
      <c r="I349" s="104"/>
    </row>
    <row r="350" spans="2:9" ht="30" customHeight="1" x14ac:dyDescent="0.3">
      <c r="B350" s="334"/>
      <c r="C350" s="71" t="s">
        <v>18</v>
      </c>
      <c r="D350" s="350"/>
      <c r="E350" s="48">
        <f>183-25</f>
        <v>158</v>
      </c>
      <c r="F350" s="150">
        <v>250</v>
      </c>
      <c r="G350" s="151">
        <v>250</v>
      </c>
      <c r="H350" s="151">
        <v>250</v>
      </c>
      <c r="I350" s="104"/>
    </row>
    <row r="351" spans="2:9" ht="21.6" customHeight="1" x14ac:dyDescent="0.3">
      <c r="B351" s="333" t="s">
        <v>294</v>
      </c>
      <c r="C351" s="8" t="s">
        <v>295</v>
      </c>
      <c r="D351" s="350"/>
      <c r="E351" s="32" t="s">
        <v>103</v>
      </c>
      <c r="F351" s="453" t="s">
        <v>103</v>
      </c>
      <c r="G351" s="144" t="s">
        <v>103</v>
      </c>
      <c r="H351" s="144" t="s">
        <v>103</v>
      </c>
      <c r="I351" s="104"/>
    </row>
    <row r="352" spans="2:9" ht="30" customHeight="1" x14ac:dyDescent="0.3">
      <c r="B352" s="334"/>
      <c r="C352" s="71" t="s">
        <v>18</v>
      </c>
      <c r="D352" s="350"/>
      <c r="E352" s="48">
        <f>300-4.1</f>
        <v>295.89999999999998</v>
      </c>
      <c r="F352" s="150">
        <v>300</v>
      </c>
      <c r="G352" s="151">
        <v>300</v>
      </c>
      <c r="H352" s="151">
        <v>300</v>
      </c>
      <c r="I352" s="104"/>
    </row>
    <row r="353" spans="2:9" ht="18.600000000000001" customHeight="1" x14ac:dyDescent="0.3">
      <c r="B353" s="333" t="s">
        <v>296</v>
      </c>
      <c r="C353" s="8" t="s">
        <v>297</v>
      </c>
      <c r="D353" s="350"/>
      <c r="E353" s="32" t="s">
        <v>103</v>
      </c>
      <c r="F353" s="453" t="s">
        <v>103</v>
      </c>
      <c r="G353" s="144" t="s">
        <v>103</v>
      </c>
      <c r="H353" s="144" t="s">
        <v>103</v>
      </c>
      <c r="I353" s="104"/>
    </row>
    <row r="354" spans="2:9" ht="30" customHeight="1" x14ac:dyDescent="0.3">
      <c r="B354" s="335"/>
      <c r="C354" s="71" t="s">
        <v>18</v>
      </c>
      <c r="D354" s="350"/>
      <c r="E354" s="48">
        <v>299</v>
      </c>
      <c r="F354" s="150">
        <v>783</v>
      </c>
      <c r="G354" s="151">
        <v>800</v>
      </c>
      <c r="H354" s="151">
        <v>800</v>
      </c>
      <c r="I354" s="104"/>
    </row>
    <row r="355" spans="2:9" ht="22.2" customHeight="1" x14ac:dyDescent="0.3">
      <c r="B355" s="333" t="s">
        <v>298</v>
      </c>
      <c r="C355" s="8" t="s">
        <v>299</v>
      </c>
      <c r="D355" s="350"/>
      <c r="E355" s="32" t="s">
        <v>103</v>
      </c>
      <c r="F355" s="453" t="s">
        <v>103</v>
      </c>
      <c r="G355" s="144" t="s">
        <v>103</v>
      </c>
      <c r="H355" s="144" t="s">
        <v>103</v>
      </c>
      <c r="I355" s="104"/>
    </row>
    <row r="356" spans="2:9" ht="29.4" customHeight="1" x14ac:dyDescent="0.3">
      <c r="B356" s="335"/>
      <c r="C356" s="71" t="s">
        <v>18</v>
      </c>
      <c r="D356" s="350"/>
      <c r="E356" s="48">
        <f>228.7-188.2</f>
        <v>40.5</v>
      </c>
      <c r="F356" s="145">
        <v>826.3</v>
      </c>
      <c r="G356" s="151">
        <v>433</v>
      </c>
      <c r="H356" s="146">
        <v>404.5</v>
      </c>
      <c r="I356" s="104"/>
    </row>
    <row r="357" spans="2:9" ht="19.95" customHeight="1" x14ac:dyDescent="0.3">
      <c r="B357" s="333" t="s">
        <v>300</v>
      </c>
      <c r="C357" s="8" t="s">
        <v>301</v>
      </c>
      <c r="D357" s="350"/>
      <c r="E357" s="32" t="s">
        <v>103</v>
      </c>
      <c r="F357" s="453" t="s">
        <v>103</v>
      </c>
      <c r="G357" s="144" t="s">
        <v>103</v>
      </c>
      <c r="H357" s="144" t="s">
        <v>103</v>
      </c>
      <c r="I357" s="104"/>
    </row>
    <row r="358" spans="2:9" ht="33" customHeight="1" x14ac:dyDescent="0.3">
      <c r="B358" s="334"/>
      <c r="C358" s="71" t="s">
        <v>18</v>
      </c>
      <c r="D358" s="350"/>
      <c r="E358" s="48">
        <f>92.8-74.7</f>
        <v>18.099999999999994</v>
      </c>
      <c r="F358" s="150">
        <f>150+48.5</f>
        <v>198.5</v>
      </c>
      <c r="G358" s="151">
        <v>100</v>
      </c>
      <c r="H358" s="151">
        <v>100</v>
      </c>
      <c r="I358" s="104"/>
    </row>
    <row r="359" spans="2:9" ht="112.8" customHeight="1" x14ac:dyDescent="0.3">
      <c r="B359" s="295"/>
      <c r="C359" s="71" t="s">
        <v>18</v>
      </c>
      <c r="D359" s="254" t="s">
        <v>285</v>
      </c>
      <c r="E359" s="48">
        <v>7.2</v>
      </c>
      <c r="F359" s="150">
        <v>0</v>
      </c>
      <c r="G359" s="146"/>
      <c r="H359" s="146"/>
      <c r="I359" s="114"/>
    </row>
    <row r="360" spans="2:9" ht="18" customHeight="1" x14ac:dyDescent="0.3">
      <c r="B360" s="352" t="s">
        <v>302</v>
      </c>
      <c r="C360" s="106" t="s">
        <v>303</v>
      </c>
      <c r="D360" s="349" t="s">
        <v>46</v>
      </c>
      <c r="E360" s="53" t="s">
        <v>103</v>
      </c>
      <c r="F360" s="140" t="s">
        <v>103</v>
      </c>
      <c r="G360" s="141" t="s">
        <v>103</v>
      </c>
      <c r="H360" s="141" t="s">
        <v>103</v>
      </c>
      <c r="I360" s="107"/>
    </row>
    <row r="361" spans="2:9" ht="33" customHeight="1" x14ac:dyDescent="0.3">
      <c r="B361" s="353"/>
      <c r="C361" s="108" t="s">
        <v>18</v>
      </c>
      <c r="D361" s="350"/>
      <c r="E361" s="109">
        <f>18+269.1+35+15+5</f>
        <v>342.1</v>
      </c>
      <c r="F361" s="142">
        <v>346.7</v>
      </c>
      <c r="G361" s="152">
        <v>374</v>
      </c>
      <c r="H361" s="152">
        <v>374</v>
      </c>
      <c r="I361" s="107"/>
    </row>
    <row r="362" spans="2:9" ht="18" customHeight="1" x14ac:dyDescent="0.3">
      <c r="B362" s="354"/>
      <c r="C362" s="108" t="s">
        <v>19</v>
      </c>
      <c r="D362" s="351"/>
      <c r="E362" s="109">
        <v>2.9</v>
      </c>
      <c r="F362" s="142">
        <v>2.9</v>
      </c>
      <c r="G362" s="143">
        <v>3.2</v>
      </c>
      <c r="H362" s="143">
        <v>3.2</v>
      </c>
      <c r="I362" s="107"/>
    </row>
    <row r="363" spans="2:9" ht="18.600000000000001" customHeight="1" x14ac:dyDescent="0.3">
      <c r="B363" s="110"/>
      <c r="C363" s="6" t="s">
        <v>106</v>
      </c>
      <c r="D363" s="25"/>
      <c r="E363" s="26">
        <f>SUM(E364:E367)</f>
        <v>2990.7999999999997</v>
      </c>
      <c r="F363" s="26">
        <f t="shared" ref="F363:H363" si="15">SUM(F364:F367)</f>
        <v>3816.5</v>
      </c>
      <c r="G363" s="26">
        <f t="shared" si="15"/>
        <v>3284.2</v>
      </c>
      <c r="H363" s="26">
        <f t="shared" si="15"/>
        <v>3225.7</v>
      </c>
      <c r="I363" s="111"/>
    </row>
    <row r="364" spans="2:9" ht="16.2" customHeight="1" x14ac:dyDescent="0.3">
      <c r="B364" s="346"/>
      <c r="C364" s="8" t="s">
        <v>107</v>
      </c>
      <c r="D364" s="27"/>
      <c r="E364" s="23"/>
      <c r="F364" s="23"/>
      <c r="G364" s="23"/>
      <c r="H364" s="23"/>
      <c r="I364" s="104"/>
    </row>
    <row r="365" spans="2:9" ht="33" customHeight="1" x14ac:dyDescent="0.3">
      <c r="B365" s="347"/>
      <c r="C365" s="8" t="s">
        <v>108</v>
      </c>
      <c r="D365" s="27"/>
      <c r="E365" s="23">
        <f>SUMIF(C337:C362,C338,E337:E362)</f>
        <v>2928.8999999999996</v>
      </c>
      <c r="F365" s="23">
        <f>SUMIF(C338:C362,C338,F338:F362)</f>
        <v>3744.2</v>
      </c>
      <c r="G365" s="23">
        <f>SUMIF(C337:C362,C338,G337:G362)</f>
        <v>3281</v>
      </c>
      <c r="H365" s="23">
        <f>SUMIF(C337:C362,C338,H337:H362)</f>
        <v>3222.5</v>
      </c>
      <c r="I365" s="104"/>
    </row>
    <row r="366" spans="2:9" ht="22.2" customHeight="1" x14ac:dyDescent="0.3">
      <c r="B366" s="347"/>
      <c r="C366" s="8" t="s">
        <v>109</v>
      </c>
      <c r="D366" s="27"/>
      <c r="E366" s="23">
        <f>SUMIF(C337:C362,C362,E337:E362)</f>
        <v>2.9</v>
      </c>
      <c r="F366" s="23">
        <f>SUMIF(C337:C362,C362,F337:F362)</f>
        <v>2.9</v>
      </c>
      <c r="G366" s="23">
        <f>SUMIF(C337:C362,C362,G337:G362)</f>
        <v>3.2</v>
      </c>
      <c r="H366" s="23">
        <f>SUMIF(C337:C362,C362,H337:H362)</f>
        <v>3.2</v>
      </c>
      <c r="I366" s="104"/>
    </row>
    <row r="367" spans="2:9" ht="21" customHeight="1" x14ac:dyDescent="0.3">
      <c r="B367" s="348"/>
      <c r="C367" s="8" t="s">
        <v>112</v>
      </c>
      <c r="D367" s="263"/>
      <c r="E367" s="23">
        <f>SUMIF(C337:C362,C339,E337:E362)</f>
        <v>59</v>
      </c>
      <c r="F367" s="23">
        <f>SUMIF(C337:C362,C339,F337:F362)</f>
        <v>69.400000000000006</v>
      </c>
      <c r="G367" s="23">
        <f>SUMIF(C337:C362,C339,G337:G362)</f>
        <v>0</v>
      </c>
      <c r="H367" s="23">
        <f>SUMIF(C337:C362,C339,H337:H362)</f>
        <v>0</v>
      </c>
      <c r="I367" s="104"/>
    </row>
    <row r="368" spans="2:9" ht="53.25" customHeight="1" x14ac:dyDescent="0.3">
      <c r="B368" s="100" t="s">
        <v>304</v>
      </c>
      <c r="C368" s="261" t="s">
        <v>305</v>
      </c>
      <c r="D368" s="455" t="s">
        <v>16</v>
      </c>
      <c r="E368" s="262"/>
      <c r="F368" s="30"/>
      <c r="G368" s="30"/>
      <c r="H368" s="30"/>
      <c r="I368" s="112"/>
    </row>
    <row r="369" spans="2:9" ht="21" customHeight="1" x14ac:dyDescent="0.3">
      <c r="B369" s="89"/>
      <c r="C369" s="6" t="s">
        <v>106</v>
      </c>
      <c r="D369" s="28"/>
      <c r="E369" s="26">
        <f>E371</f>
        <v>29.4</v>
      </c>
      <c r="F369" s="26">
        <f t="shared" ref="F369:H369" si="16">F371</f>
        <v>29.4</v>
      </c>
      <c r="G369" s="26">
        <f t="shared" si="16"/>
        <v>29.4</v>
      </c>
      <c r="H369" s="26">
        <f t="shared" si="16"/>
        <v>29.4</v>
      </c>
      <c r="I369" s="111"/>
    </row>
    <row r="370" spans="2:9" ht="18.600000000000001" customHeight="1" x14ac:dyDescent="0.3">
      <c r="B370" s="113"/>
      <c r="C370" s="8" t="s">
        <v>107</v>
      </c>
      <c r="D370" s="31"/>
      <c r="E370" s="32"/>
      <c r="F370" s="32"/>
      <c r="G370" s="32"/>
      <c r="H370" s="32"/>
      <c r="I370" s="114"/>
    </row>
    <row r="371" spans="2:9" ht="31.2" customHeight="1" x14ac:dyDescent="0.3">
      <c r="B371" s="114"/>
      <c r="C371" s="8" t="s">
        <v>18</v>
      </c>
      <c r="D371" s="27"/>
      <c r="E371" s="23">
        <v>29.4</v>
      </c>
      <c r="F371" s="23">
        <v>29.4</v>
      </c>
      <c r="G371" s="23">
        <v>29.4</v>
      </c>
      <c r="H371" s="23">
        <v>29.4</v>
      </c>
      <c r="I371" s="104"/>
    </row>
    <row r="372" spans="2:9" ht="31.95" customHeight="1" x14ac:dyDescent="0.3">
      <c r="B372" s="112" t="s">
        <v>306</v>
      </c>
      <c r="C372" s="39" t="s">
        <v>307</v>
      </c>
      <c r="D372" s="33" t="s">
        <v>52</v>
      </c>
      <c r="E372" s="30"/>
      <c r="F372" s="30"/>
      <c r="G372" s="30"/>
      <c r="H372" s="30"/>
      <c r="I372" s="112"/>
    </row>
    <row r="373" spans="2:9" ht="20.399999999999999" customHeight="1" x14ac:dyDescent="0.3">
      <c r="B373" s="89"/>
      <c r="C373" s="6" t="s">
        <v>106</v>
      </c>
      <c r="D373" s="28"/>
      <c r="E373" s="26">
        <f>E375</f>
        <v>40</v>
      </c>
      <c r="F373" s="26">
        <f t="shared" ref="F373:H373" si="17">F375</f>
        <v>80</v>
      </c>
      <c r="G373" s="26">
        <f t="shared" si="17"/>
        <v>0</v>
      </c>
      <c r="H373" s="26">
        <f t="shared" si="17"/>
        <v>0</v>
      </c>
      <c r="I373" s="111"/>
    </row>
    <row r="374" spans="2:9" ht="19.2" customHeight="1" x14ac:dyDescent="0.3">
      <c r="B374" s="113"/>
      <c r="C374" s="8" t="s">
        <v>107</v>
      </c>
      <c r="D374" s="27"/>
      <c r="E374" s="23"/>
      <c r="F374" s="23"/>
      <c r="G374" s="23"/>
      <c r="H374" s="23"/>
      <c r="I374" s="104"/>
    </row>
    <row r="375" spans="2:9" ht="31.2" customHeight="1" x14ac:dyDescent="0.3">
      <c r="B375" s="114"/>
      <c r="C375" s="8" t="s">
        <v>18</v>
      </c>
      <c r="D375" s="27"/>
      <c r="E375" s="23">
        <v>40</v>
      </c>
      <c r="F375" s="32">
        <v>80</v>
      </c>
      <c r="G375" s="23"/>
      <c r="H375" s="23"/>
      <c r="I375" s="104"/>
    </row>
    <row r="376" spans="2:9" ht="30.6" customHeight="1" x14ac:dyDescent="0.3">
      <c r="B376" s="112" t="s">
        <v>308</v>
      </c>
      <c r="C376" s="39" t="s">
        <v>309</v>
      </c>
      <c r="D376" s="29"/>
      <c r="E376" s="30"/>
      <c r="F376" s="30"/>
      <c r="G376" s="30"/>
      <c r="H376" s="30"/>
      <c r="I376" s="112"/>
    </row>
    <row r="377" spans="2:9" ht="31.2" customHeight="1" x14ac:dyDescent="0.3">
      <c r="B377" s="328" t="s">
        <v>310</v>
      </c>
      <c r="C377" s="8" t="s">
        <v>311</v>
      </c>
      <c r="D377" s="358" t="s">
        <v>46</v>
      </c>
      <c r="E377" s="23"/>
      <c r="F377" s="23"/>
      <c r="G377" s="23"/>
      <c r="H377" s="23"/>
      <c r="I377" s="104"/>
    </row>
    <row r="378" spans="2:9" ht="31.2" customHeight="1" x14ac:dyDescent="0.3">
      <c r="B378" s="329"/>
      <c r="C378" s="71" t="s">
        <v>18</v>
      </c>
      <c r="D378" s="359"/>
      <c r="E378" s="48">
        <f>14.5+18</f>
        <v>32.5</v>
      </c>
      <c r="F378" s="150">
        <v>16</v>
      </c>
      <c r="G378" s="151">
        <v>20</v>
      </c>
      <c r="H378" s="151">
        <v>20</v>
      </c>
      <c r="I378" s="104"/>
    </row>
    <row r="379" spans="2:9" ht="32.4" customHeight="1" x14ac:dyDescent="0.3">
      <c r="B379" s="328"/>
      <c r="C379" s="8" t="s">
        <v>312</v>
      </c>
      <c r="D379" s="355" t="s">
        <v>174</v>
      </c>
      <c r="E379" s="24"/>
      <c r="F379" s="24"/>
      <c r="G379" s="24"/>
      <c r="H379" s="24"/>
      <c r="I379" s="115"/>
    </row>
    <row r="380" spans="2:9" ht="38.25" customHeight="1" x14ac:dyDescent="0.3">
      <c r="B380" s="345"/>
      <c r="C380" s="71" t="s">
        <v>18</v>
      </c>
      <c r="D380" s="356"/>
      <c r="E380" s="207">
        <v>7.4</v>
      </c>
      <c r="F380" s="24"/>
      <c r="G380" s="24"/>
      <c r="H380" s="24"/>
      <c r="I380" s="156"/>
    </row>
    <row r="381" spans="2:9" ht="44.25" customHeight="1" x14ac:dyDescent="0.3">
      <c r="B381" s="296"/>
      <c r="C381" s="108" t="s">
        <v>19</v>
      </c>
      <c r="D381" s="357"/>
      <c r="E381" s="206">
        <v>0.4</v>
      </c>
      <c r="F381" s="205"/>
      <c r="G381" s="24"/>
      <c r="H381" s="24"/>
      <c r="I381" s="156"/>
    </row>
    <row r="382" spans="2:9" ht="21" customHeight="1" x14ac:dyDescent="0.3">
      <c r="B382" s="110"/>
      <c r="C382" s="203" t="s">
        <v>106</v>
      </c>
      <c r="D382" s="202"/>
      <c r="E382" s="204">
        <f>SUM(E384:E385)</f>
        <v>40.299999999999997</v>
      </c>
      <c r="F382" s="204">
        <f t="shared" ref="F382" si="18">SUM(F384:F385)</f>
        <v>16</v>
      </c>
      <c r="G382" s="204">
        <f>SUM(G384:G385)</f>
        <v>20</v>
      </c>
      <c r="H382" s="204">
        <f>SUM(H384:H385)</f>
        <v>20</v>
      </c>
      <c r="I382" s="111"/>
    </row>
    <row r="383" spans="2:9" ht="20.399999999999999" customHeight="1" x14ac:dyDescent="0.3">
      <c r="B383" s="331"/>
      <c r="C383" s="8" t="s">
        <v>107</v>
      </c>
      <c r="D383" s="27"/>
      <c r="E383" s="23"/>
      <c r="F383" s="23"/>
      <c r="G383" s="23"/>
      <c r="H383" s="23"/>
      <c r="I383" s="104"/>
    </row>
    <row r="384" spans="2:9" ht="31.2" customHeight="1" x14ac:dyDescent="0.3">
      <c r="B384" s="332"/>
      <c r="C384" s="8" t="s">
        <v>108</v>
      </c>
      <c r="D384" s="27"/>
      <c r="E384" s="23">
        <f>SUMIF(C377:C381,C380,E377:E381)</f>
        <v>39.9</v>
      </c>
      <c r="F384" s="23">
        <f>SUMIF(C377:C381,C380,F377:F381)</f>
        <v>16</v>
      </c>
      <c r="G384" s="23">
        <f>SUMIF(C377:C381,C380,G377:G381)</f>
        <v>20</v>
      </c>
      <c r="H384" s="23">
        <f>SUMIF(C377:C381,C380,H377:H381)</f>
        <v>20</v>
      </c>
      <c r="I384" s="104"/>
    </row>
    <row r="385" spans="2:9" ht="18" customHeight="1" x14ac:dyDescent="0.3">
      <c r="B385" s="297"/>
      <c r="C385" s="8" t="s">
        <v>109</v>
      </c>
      <c r="D385" s="27"/>
      <c r="E385" s="23">
        <f>SUMIF(C378:C381,C381,E378:E381)</f>
        <v>0.4</v>
      </c>
      <c r="F385" s="23">
        <f>SUMIF(C378:C381,C381,F378:F381)</f>
        <v>0</v>
      </c>
      <c r="G385" s="23">
        <f>SUMIF(C378:C381,C381,G378:G381)</f>
        <v>0</v>
      </c>
      <c r="H385" s="23">
        <f>SUMIF(C378:C381,C381,H378:H381)</f>
        <v>0</v>
      </c>
      <c r="I385" s="104"/>
    </row>
    <row r="386" spans="2:9" ht="44.4" customHeight="1" x14ac:dyDescent="0.3">
      <c r="B386" s="112" t="s">
        <v>313</v>
      </c>
      <c r="C386" s="39" t="s">
        <v>314</v>
      </c>
      <c r="D386" s="33" t="s">
        <v>46</v>
      </c>
      <c r="E386" s="30"/>
      <c r="F386" s="30"/>
      <c r="G386" s="30"/>
      <c r="H386" s="30"/>
      <c r="I386" s="112"/>
    </row>
    <row r="387" spans="2:9" ht="17.399999999999999" customHeight="1" x14ac:dyDescent="0.3">
      <c r="B387" s="110"/>
      <c r="C387" s="6" t="s">
        <v>106</v>
      </c>
      <c r="D387" s="28"/>
      <c r="E387" s="26">
        <f>SUM(E388:E390)</f>
        <v>3969.8999999999996</v>
      </c>
      <c r="F387" s="26">
        <f t="shared" ref="F387:H387" si="19">SUM(F388:F390)</f>
        <v>4078</v>
      </c>
      <c r="G387" s="26">
        <f t="shared" si="19"/>
        <v>5017</v>
      </c>
      <c r="H387" s="26">
        <f t="shared" si="19"/>
        <v>6420</v>
      </c>
      <c r="I387" s="111"/>
    </row>
    <row r="388" spans="2:9" ht="17.399999999999999" customHeight="1" x14ac:dyDescent="0.3">
      <c r="B388" s="331"/>
      <c r="C388" s="8" t="s">
        <v>107</v>
      </c>
      <c r="D388" s="27"/>
      <c r="E388" s="23"/>
      <c r="F388" s="23"/>
      <c r="G388" s="23"/>
      <c r="H388" s="23"/>
      <c r="I388" s="104"/>
    </row>
    <row r="389" spans="2:9" ht="28.2" customHeight="1" x14ac:dyDescent="0.3">
      <c r="B389" s="339"/>
      <c r="C389" s="8" t="s">
        <v>18</v>
      </c>
      <c r="D389" s="27"/>
      <c r="E389" s="32">
        <f>4750-280-165.1-350</f>
        <v>3954.8999999999996</v>
      </c>
      <c r="F389" s="257">
        <f>5063-1000</f>
        <v>4063</v>
      </c>
      <c r="G389" s="258">
        <f>6000-1000</f>
        <v>5000</v>
      </c>
      <c r="H389" s="258">
        <f>7400-1000</f>
        <v>6400</v>
      </c>
      <c r="I389" s="104"/>
    </row>
    <row r="390" spans="2:9" ht="17.399999999999999" customHeight="1" x14ac:dyDescent="0.3">
      <c r="B390" s="339"/>
      <c r="C390" s="229" t="s">
        <v>19</v>
      </c>
      <c r="D390" s="263"/>
      <c r="E390" s="265">
        <v>15</v>
      </c>
      <c r="F390" s="265">
        <v>15</v>
      </c>
      <c r="G390" s="265">
        <v>17</v>
      </c>
      <c r="H390" s="265">
        <v>20</v>
      </c>
      <c r="I390" s="102"/>
    </row>
    <row r="391" spans="2:9" ht="27.75" customHeight="1" x14ac:dyDescent="0.3">
      <c r="B391" s="271"/>
      <c r="C391" s="272" t="s">
        <v>315</v>
      </c>
      <c r="D391" s="273"/>
      <c r="E391" s="274">
        <f>E114+E121+E133+E139+E143+E147+E151+E173+E262+E301+E316+E331+E363+E369+E373+E382+E387+E155+E289+E164+E160+E168+E268</f>
        <v>189806.29999999993</v>
      </c>
      <c r="F391" s="274">
        <f ca="1">F114+F121+F133+F139+F143+F147+F151+F173+F262+F301+F316+F331+F363+F369+F373+F382+F387+F155+F289+F164+F160+F168+F268</f>
        <v>208035.29999999993</v>
      </c>
      <c r="G391" s="274">
        <f ca="1">G114+G121+G133+G139+G143+G147+G151+G173+G262+G301+G316+G331+G363+G369+G373+G382+G387+G155+G289+G164+G160+G168+G268</f>
        <v>199032.29999999996</v>
      </c>
      <c r="H391" s="274">
        <f ca="1">H114+H121+H133+H139+H143+H147+H151+H173+H262+H301+H316+H331+H363+H369+H373+H382+H387+H155+H289+H164+H160+H168+H268</f>
        <v>195108.69999999998</v>
      </c>
      <c r="I391" s="275"/>
    </row>
    <row r="392" spans="2:9" ht="17.399999999999999" customHeight="1" x14ac:dyDescent="0.3">
      <c r="B392" s="266"/>
      <c r="C392" s="267" t="s">
        <v>316</v>
      </c>
      <c r="D392" s="268"/>
      <c r="E392" s="269">
        <f>E244</f>
        <v>0</v>
      </c>
      <c r="F392" s="269">
        <f>F244</f>
        <v>263</v>
      </c>
      <c r="G392" s="269">
        <f t="shared" ref="G392:H392" si="20">G244</f>
        <v>258.90000000000003</v>
      </c>
      <c r="H392" s="269">
        <f t="shared" si="20"/>
        <v>425.8</v>
      </c>
      <c r="I392" s="270"/>
    </row>
    <row r="393" spans="2:9" ht="30" customHeight="1" x14ac:dyDescent="0.3">
      <c r="B393" s="276"/>
      <c r="C393" s="277" t="s">
        <v>317</v>
      </c>
      <c r="D393" s="278"/>
      <c r="E393" s="279"/>
      <c r="F393" s="279">
        <f ca="1">+F391-E391</f>
        <v>18229</v>
      </c>
      <c r="G393" s="279">
        <f ca="1">+G391-F391</f>
        <v>-9002.9999999999709</v>
      </c>
      <c r="H393" s="279">
        <f ca="1">+H391-G391</f>
        <v>-3923.5999999999767</v>
      </c>
      <c r="I393" s="279"/>
    </row>
    <row r="394" spans="2:9" ht="15" customHeight="1" x14ac:dyDescent="0.3">
      <c r="B394" s="117"/>
      <c r="C394" s="55"/>
      <c r="D394" s="56"/>
      <c r="E394" s="57"/>
      <c r="F394" s="57"/>
      <c r="G394" s="57"/>
      <c r="H394" s="57"/>
      <c r="I394" s="57"/>
    </row>
    <row r="395" spans="2:9" s="118" customFormat="1" ht="15" customHeight="1" x14ac:dyDescent="0.25">
      <c r="B395" s="336" t="s">
        <v>318</v>
      </c>
      <c r="C395" s="336"/>
      <c r="D395" s="336"/>
      <c r="E395" s="336"/>
      <c r="F395" s="336"/>
      <c r="G395" s="336"/>
      <c r="H395" s="336"/>
      <c r="I395" s="336"/>
    </row>
    <row r="396" spans="2:9" s="118" customFormat="1" ht="15" customHeight="1" x14ac:dyDescent="0.25">
      <c r="B396" s="337" t="s">
        <v>319</v>
      </c>
      <c r="C396" s="337"/>
      <c r="D396" s="337"/>
      <c r="E396" s="337"/>
      <c r="F396" s="337"/>
      <c r="G396" s="337"/>
      <c r="H396" s="337"/>
      <c r="I396" s="337"/>
    </row>
    <row r="397" spans="2:9" s="118" customFormat="1" ht="15" customHeight="1" x14ac:dyDescent="0.25">
      <c r="B397" s="336" t="s">
        <v>320</v>
      </c>
      <c r="C397" s="336"/>
      <c r="D397" s="336"/>
      <c r="E397" s="336"/>
      <c r="F397" s="336"/>
      <c r="G397" s="336"/>
      <c r="H397" s="336"/>
      <c r="I397" s="336"/>
    </row>
    <row r="398" spans="2:9" s="118" customFormat="1" ht="15" customHeight="1" x14ac:dyDescent="0.25">
      <c r="B398" s="336" t="s">
        <v>321</v>
      </c>
      <c r="C398" s="336"/>
      <c r="D398" s="336"/>
      <c r="E398" s="336"/>
      <c r="F398" s="336"/>
      <c r="G398" s="336"/>
      <c r="H398" s="336"/>
      <c r="I398" s="336"/>
    </row>
    <row r="399" spans="2:9" s="118" customFormat="1" ht="15" customHeight="1" x14ac:dyDescent="0.25">
      <c r="B399" s="327" t="s">
        <v>322</v>
      </c>
      <c r="C399" s="327"/>
      <c r="D399" s="298"/>
      <c r="E399" s="298"/>
      <c r="F399" s="298"/>
      <c r="G399" s="298"/>
      <c r="H399" s="298"/>
      <c r="I399" s="298"/>
    </row>
  </sheetData>
  <mergeCells count="165">
    <mergeCell ref="B249:B251"/>
    <mergeCell ref="D178:D180"/>
    <mergeCell ref="B174:B175"/>
    <mergeCell ref="B148:B149"/>
    <mergeCell ref="B252:B253"/>
    <mergeCell ref="D198:D200"/>
    <mergeCell ref="D201:D204"/>
    <mergeCell ref="B201:B204"/>
    <mergeCell ref="B205:B206"/>
    <mergeCell ref="D221:D222"/>
    <mergeCell ref="D205:D206"/>
    <mergeCell ref="B198:B200"/>
    <mergeCell ref="B243:B244"/>
    <mergeCell ref="D228:D230"/>
    <mergeCell ref="D239:D242"/>
    <mergeCell ref="B247:B248"/>
    <mergeCell ref="B221:B222"/>
    <mergeCell ref="B52:B53"/>
    <mergeCell ref="B101:B102"/>
    <mergeCell ref="D109:D110"/>
    <mergeCell ref="B107:B108"/>
    <mergeCell ref="D107:D108"/>
    <mergeCell ref="D112:D113"/>
    <mergeCell ref="B109:B111"/>
    <mergeCell ref="B112:B113"/>
    <mergeCell ref="D101:D102"/>
    <mergeCell ref="B66:B67"/>
    <mergeCell ref="B54:B58"/>
    <mergeCell ref="B61:B65"/>
    <mergeCell ref="B98:B100"/>
    <mergeCell ref="D94:D95"/>
    <mergeCell ref="B79:B80"/>
    <mergeCell ref="D52:D76"/>
    <mergeCell ref="B81:B82"/>
    <mergeCell ref="B239:B242"/>
    <mergeCell ref="D243:D246"/>
    <mergeCell ref="B185:B186"/>
    <mergeCell ref="B152:B153"/>
    <mergeCell ref="B156:B158"/>
    <mergeCell ref="D224:D227"/>
    <mergeCell ref="B193:B194"/>
    <mergeCell ref="B224:B226"/>
    <mergeCell ref="B183:B184"/>
    <mergeCell ref="B187:B188"/>
    <mergeCell ref="B189:B190"/>
    <mergeCell ref="B191:B192"/>
    <mergeCell ref="B195:B197"/>
    <mergeCell ref="D207:D220"/>
    <mergeCell ref="B207:B220"/>
    <mergeCell ref="B83:B84"/>
    <mergeCell ref="B314:B315"/>
    <mergeCell ref="B275:B276"/>
    <mergeCell ref="B321:B322"/>
    <mergeCell ref="B326:B327"/>
    <mergeCell ref="B299:B300"/>
    <mergeCell ref="D247:D248"/>
    <mergeCell ref="B263:B267"/>
    <mergeCell ref="D323:D329"/>
    <mergeCell ref="B272:B274"/>
    <mergeCell ref="B312:B313"/>
    <mergeCell ref="D295:D300"/>
    <mergeCell ref="B283:B286"/>
    <mergeCell ref="D258:D259"/>
    <mergeCell ref="D255:D257"/>
    <mergeCell ref="B260:B261"/>
    <mergeCell ref="D260:D261"/>
    <mergeCell ref="B237:B238"/>
    <mergeCell ref="B228:B236"/>
    <mergeCell ref="D250:D253"/>
    <mergeCell ref="B96:B97"/>
    <mergeCell ref="D183:D196"/>
    <mergeCell ref="B287:B288"/>
    <mergeCell ref="D126:D127"/>
    <mergeCell ref="B379:B380"/>
    <mergeCell ref="B364:B367"/>
    <mergeCell ref="D360:D362"/>
    <mergeCell ref="B360:B362"/>
    <mergeCell ref="D379:D381"/>
    <mergeCell ref="D377:D378"/>
    <mergeCell ref="B346:B348"/>
    <mergeCell ref="D306:D311"/>
    <mergeCell ref="D272:D279"/>
    <mergeCell ref="D287:D288"/>
    <mergeCell ref="B337:B341"/>
    <mergeCell ref="B328:B330"/>
    <mergeCell ref="D340:D341"/>
    <mergeCell ref="D342:D358"/>
    <mergeCell ref="B353:B354"/>
    <mergeCell ref="B317:B319"/>
    <mergeCell ref="B332:B334"/>
    <mergeCell ref="B342:B343"/>
    <mergeCell ref="D321:D322"/>
    <mergeCell ref="D338:D339"/>
    <mergeCell ref="B399:C399"/>
    <mergeCell ref="B377:B378"/>
    <mergeCell ref="B255:B257"/>
    <mergeCell ref="B306:B307"/>
    <mergeCell ref="B308:B309"/>
    <mergeCell ref="B258:B259"/>
    <mergeCell ref="B323:B325"/>
    <mergeCell ref="B383:B384"/>
    <mergeCell ref="B279:B280"/>
    <mergeCell ref="B302:B303"/>
    <mergeCell ref="B310:B311"/>
    <mergeCell ref="B349:B350"/>
    <mergeCell ref="B355:B356"/>
    <mergeCell ref="B351:B352"/>
    <mergeCell ref="B281:B282"/>
    <mergeCell ref="B357:B358"/>
    <mergeCell ref="B344:B345"/>
    <mergeCell ref="B395:I395"/>
    <mergeCell ref="B396:I396"/>
    <mergeCell ref="B398:I398"/>
    <mergeCell ref="B397:I397"/>
    <mergeCell ref="B290:B293"/>
    <mergeCell ref="B277:B278"/>
    <mergeCell ref="B388:B390"/>
    <mergeCell ref="E1:I1"/>
    <mergeCell ref="B41:B47"/>
    <mergeCell ref="B89:B91"/>
    <mergeCell ref="D128:D132"/>
    <mergeCell ref="B94:B95"/>
    <mergeCell ref="B131:B132"/>
    <mergeCell ref="D96:D97"/>
    <mergeCell ref="D98:D100"/>
    <mergeCell ref="D103:D104"/>
    <mergeCell ref="B105:B106"/>
    <mergeCell ref="D105:D106"/>
    <mergeCell ref="B68:B72"/>
    <mergeCell ref="D79:D84"/>
    <mergeCell ref="B73:B76"/>
    <mergeCell ref="B2:I2"/>
    <mergeCell ref="B92:B93"/>
    <mergeCell ref="B28:B30"/>
    <mergeCell ref="B31:B32"/>
    <mergeCell ref="B33:B34"/>
    <mergeCell ref="B35:B36"/>
    <mergeCell ref="B37:B38"/>
    <mergeCell ref="B7:B11"/>
    <mergeCell ref="B12:B13"/>
    <mergeCell ref="B23:B27"/>
    <mergeCell ref="D7:D16"/>
    <mergeCell ref="B14:B15"/>
    <mergeCell ref="D50:D51"/>
    <mergeCell ref="D77:D78"/>
    <mergeCell ref="D181:D182"/>
    <mergeCell ref="D41:D43"/>
    <mergeCell ref="B39:B40"/>
    <mergeCell ref="B48:B49"/>
    <mergeCell ref="B50:B51"/>
    <mergeCell ref="B85:B88"/>
    <mergeCell ref="B165:B166"/>
    <mergeCell ref="B77:B78"/>
    <mergeCell ref="B21:B22"/>
    <mergeCell ref="B134:B137"/>
    <mergeCell ref="B140:B141"/>
    <mergeCell ref="B144:B145"/>
    <mergeCell ref="B103:B104"/>
    <mergeCell ref="B128:B130"/>
    <mergeCell ref="B115:B120"/>
    <mergeCell ref="B178:B180"/>
    <mergeCell ref="B16:B20"/>
    <mergeCell ref="D44:D46"/>
    <mergeCell ref="B122:B124"/>
    <mergeCell ref="D48:D49"/>
  </mergeCells>
  <phoneticPr fontId="16" type="noConversion"/>
  <printOptions horizontalCentered="1"/>
  <pageMargins left="0.39370078740157483" right="0.39370078740157483" top="0.59055118110236227" bottom="0.59055118110236227" header="0" footer="0"/>
  <pageSetup paperSize="9" scale="65" orientation="portrait" r:id="rId1"/>
  <rowBreaks count="7" manualBreakCount="7">
    <brk id="42" max="8" man="1"/>
    <brk id="82" max="8" man="1"/>
    <brk id="118" max="8" man="1"/>
    <brk id="198" max="8" man="1"/>
    <brk id="242" max="8" man="1"/>
    <brk id="316" max="8" man="1"/>
    <brk id="354" max="8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2B7DE-1137-4D5E-9D15-BD7BEEB77719}">
  <sheetPr>
    <pageSetUpPr fitToPage="1"/>
  </sheetPr>
  <dimension ref="B1:I29"/>
  <sheetViews>
    <sheetView zoomScaleNormal="100" workbookViewId="0">
      <selection activeCell="M18" sqref="M18"/>
    </sheetView>
  </sheetViews>
  <sheetFormatPr defaultColWidth="9.109375" defaultRowHeight="13.2" x14ac:dyDescent="0.25"/>
  <cols>
    <col min="1" max="1" width="2.5546875" style="12" customWidth="1"/>
    <col min="2" max="2" width="4.6640625" style="12" customWidth="1"/>
    <col min="3" max="3" width="44.6640625" style="1" customWidth="1"/>
    <col min="4" max="7" width="14.6640625" style="12" customWidth="1"/>
    <col min="8" max="8" width="9.109375" style="12"/>
    <col min="9" max="9" width="9.5546875" style="12" bestFit="1" customWidth="1"/>
    <col min="10" max="16384" width="9.109375" style="12"/>
  </cols>
  <sheetData>
    <row r="1" spans="2:7" ht="30.6" customHeight="1" x14ac:dyDescent="0.25">
      <c r="B1" s="379" t="s">
        <v>323</v>
      </c>
      <c r="C1" s="379"/>
      <c r="D1" s="379"/>
      <c r="E1" s="379"/>
      <c r="F1" s="379"/>
      <c r="G1" s="379"/>
    </row>
    <row r="2" spans="2:7" x14ac:dyDescent="0.25">
      <c r="C2" s="12"/>
    </row>
    <row r="3" spans="2:7" ht="51.75" customHeight="1" x14ac:dyDescent="0.25">
      <c r="B3" s="128" t="s">
        <v>324</v>
      </c>
      <c r="C3" s="129" t="s">
        <v>325</v>
      </c>
      <c r="D3" s="130" t="s">
        <v>326</v>
      </c>
      <c r="E3" s="124" t="s">
        <v>6</v>
      </c>
      <c r="F3" s="124" t="s">
        <v>7</v>
      </c>
      <c r="G3" s="124" t="s">
        <v>8</v>
      </c>
    </row>
    <row r="4" spans="2:7" ht="12.75" customHeight="1" x14ac:dyDescent="0.25">
      <c r="B4" s="131">
        <v>1</v>
      </c>
      <c r="C4" s="132">
        <v>2</v>
      </c>
      <c r="D4" s="131">
        <v>3</v>
      </c>
      <c r="E4" s="125">
        <v>4</v>
      </c>
      <c r="F4" s="125">
        <v>5</v>
      </c>
      <c r="G4" s="125">
        <v>6</v>
      </c>
    </row>
    <row r="5" spans="2:7" ht="15.75" customHeight="1" x14ac:dyDescent="0.25">
      <c r="B5" s="378" t="s">
        <v>327</v>
      </c>
      <c r="C5" s="378"/>
      <c r="D5" s="378"/>
      <c r="E5" s="378"/>
      <c r="F5" s="378"/>
      <c r="G5" s="378"/>
    </row>
    <row r="6" spans="2:7" ht="12.75" customHeight="1" x14ac:dyDescent="0.25">
      <c r="B6" s="133" t="s">
        <v>328</v>
      </c>
      <c r="C6" s="134" t="s">
        <v>106</v>
      </c>
      <c r="D6" s="5">
        <f>SUM(D8:D13)</f>
        <v>189690.69999999992</v>
      </c>
      <c r="E6" s="5">
        <f>SUM(E8:E13)</f>
        <v>207243.59999999998</v>
      </c>
      <c r="F6" s="5">
        <f t="shared" ref="F6:G6" si="0">SUM(F8:F13)</f>
        <v>195468.29999999996</v>
      </c>
      <c r="G6" s="5">
        <f t="shared" si="0"/>
        <v>192047.3</v>
      </c>
    </row>
    <row r="7" spans="2:7" ht="12.75" customHeight="1" x14ac:dyDescent="0.25">
      <c r="B7" s="135"/>
      <c r="C7" s="137" t="s">
        <v>329</v>
      </c>
      <c r="D7" s="4"/>
      <c r="E7" s="4"/>
      <c r="F7" s="4"/>
      <c r="G7" s="4"/>
    </row>
    <row r="8" spans="2:7" ht="29.25" customHeight="1" x14ac:dyDescent="0.25">
      <c r="B8" s="135" t="s">
        <v>330</v>
      </c>
      <c r="C8" s="138" t="s">
        <v>331</v>
      </c>
      <c r="D8" s="126">
        <f>SUMIF('10 programa 3 lentelė'!C5:C392,'10 programa 3 lentelė'!C8,'10 programa 3 lentelė'!E5:E392)</f>
        <v>77460.799999999959</v>
      </c>
      <c r="E8" s="126">
        <f>SUMIF('10 programa 3 lentelė'!C5:C392,'10 programa 3 lentelė'!C8,'10 programa 3 lentelė'!F5:F392)</f>
        <v>93034.4</v>
      </c>
      <c r="F8" s="126">
        <f>SUMIF('10 programa 3 lentelė'!C5:C392,'10 programa 3 lentelė'!C8,'10 programa 3 lentelė'!G5:G392)</f>
        <v>92255.499999999971</v>
      </c>
      <c r="G8" s="126">
        <f>SUMIF('10 programa 3 lentelė'!C5:C392,'10 programa 3 lentelė'!C8,'10 programa 3 lentelė'!H5:H392)</f>
        <v>91962.699999999983</v>
      </c>
    </row>
    <row r="9" spans="2:7" ht="12.75" customHeight="1" x14ac:dyDescent="0.25">
      <c r="B9" s="135" t="s">
        <v>332</v>
      </c>
      <c r="C9" s="136" t="s">
        <v>19</v>
      </c>
      <c r="D9" s="126">
        <f>SUMIF('10 programa 3 lentelė'!C5:C392,'10 programa 3 lentelė'!C9,'10 programa 3 lentelė'!E5:E392)</f>
        <v>93661.799999999988</v>
      </c>
      <c r="E9" s="126">
        <f>SUMIF('10 programa 3 lentelė'!C5:C392,'10 programa 3 lentelė'!C9,'10 programa 3 lentelė'!F5:F392)</f>
        <v>93253</v>
      </c>
      <c r="F9" s="126">
        <f>SUMIF('10 programa 3 lentelė'!C5:C392,'10 programa 3 lentelė'!C9,'10 programa 3 lentelė'!G5:G392)</f>
        <v>92121.3</v>
      </c>
      <c r="G9" s="126">
        <f>SUMIF('10 programa 3 lentelė'!C5:C392,'10 programa 3 lentelė'!C9,'10 programa 3 lentelė'!H5:H392)</f>
        <v>91715.3</v>
      </c>
    </row>
    <row r="10" spans="2:7" ht="12.75" customHeight="1" x14ac:dyDescent="0.25">
      <c r="B10" s="135" t="s">
        <v>333</v>
      </c>
      <c r="C10" s="136" t="s">
        <v>334</v>
      </c>
      <c r="D10" s="126">
        <f>SUMIF('10 programa 3 lentelė'!C5:C392,'10 programa 3 lentelė'!C10,'10 programa 3 lentelė'!E5:E392)</f>
        <v>8037.8</v>
      </c>
      <c r="E10" s="126">
        <f>SUMIF('10 programa 3 lentelė'!C5:C392,'10 programa 3 lentelė'!C10,'10 programa 3 lentelė'!F5:F392)</f>
        <v>8069.3</v>
      </c>
      <c r="F10" s="126">
        <f>SUMIF('10 programa 3 lentelė'!C5:C392,'10 programa 3 lentelė'!C10,'10 programa 3 lentelė'!G5:G392)</f>
        <v>8069.3</v>
      </c>
      <c r="G10" s="126">
        <f>SUMIF('10 programa 3 lentelė'!C5:C392,'10 programa 3 lentelė'!C10,'10 programa 3 lentelė'!H5:H392)</f>
        <v>8069.3</v>
      </c>
    </row>
    <row r="11" spans="2:7" ht="24.75" customHeight="1" x14ac:dyDescent="0.25">
      <c r="B11" s="135" t="s">
        <v>335</v>
      </c>
      <c r="C11" s="136" t="s">
        <v>45</v>
      </c>
      <c r="D11" s="126">
        <f>SUMIF('10 programa 3 lentelė'!C5:C392,'10 programa 3 lentelė'!C45,'10 programa 3 lentelė'!E5:E392)</f>
        <v>2350.9</v>
      </c>
      <c r="E11" s="126">
        <f>SUMIF('10 programa 3 lentelė'!C6:C393,'10 programa 3 lentelė'!C45,'10 programa 3 lentelė'!F6:F393)</f>
        <v>8317.6999999999989</v>
      </c>
      <c r="F11" s="126">
        <f>SUMIF('10 programa 3 lentelė'!C5:C392,'10 programa 3 lentelė'!C45,'10 programa 3 lentelė'!G5:G392)</f>
        <v>2763.3999999999996</v>
      </c>
      <c r="G11" s="126">
        <f>SUMIF('10 programa 3 lentelė'!C5:C392,'10 programa 3 lentelė'!C45,'10 programa 3 lentelė'!H5:H392)</f>
        <v>300</v>
      </c>
    </row>
    <row r="12" spans="2:7" ht="12.75" customHeight="1" x14ac:dyDescent="0.25">
      <c r="B12" s="135" t="s">
        <v>336</v>
      </c>
      <c r="C12" s="136" t="s">
        <v>337</v>
      </c>
      <c r="D12" s="126">
        <f>SUMIF('10 programa 3 lentelė'!C5:C392,'10 programa 3 lentelė'!C204,'10 programa 3 lentelė'!E5:E392)</f>
        <v>1620.6</v>
      </c>
      <c r="E12" s="126">
        <f>SUMIF('10 programa 3 lentelė'!C7:C395,'10 programa 3 lentelė'!C204,'10 programa 3 lentelė'!F7:F395)</f>
        <v>4217.3999999999996</v>
      </c>
      <c r="F12" s="126">
        <f>SUMIF('10 programa 3 lentelė'!C5:C392,'10 programa 3 lentelė'!C204,'10 programa 3 lentelė'!G5:G392)</f>
        <v>258.8</v>
      </c>
      <c r="G12" s="126">
        <f>SUMIF('10 programa 3 lentelė'!C5:C392,'10 programa 3 lentelė'!C204,'10 programa 3 lentelė'!H5:H392)</f>
        <v>0</v>
      </c>
    </row>
    <row r="13" spans="2:7" ht="12.75" customHeight="1" x14ac:dyDescent="0.25">
      <c r="B13" s="135" t="s">
        <v>338</v>
      </c>
      <c r="C13" s="136" t="s">
        <v>339</v>
      </c>
      <c r="D13" s="126">
        <f>SUMIF('10 programa 3 lentelė'!C5:C392,'10 programa 3 lentelė'!C179,'10 programa 3 lentelė'!E5:E392)</f>
        <v>6558.8</v>
      </c>
      <c r="E13" s="126">
        <f>SUMIF('10 programa 3 lentelė'!C8:C396,'10 programa 3 lentelė'!C179,'10 programa 3 lentelė'!F8:F396)</f>
        <v>351.79999999999995</v>
      </c>
      <c r="F13" s="126">
        <f>SUMIF('10 programa 3 lentelė'!C5:C392,'10 programa 3 lentelė'!C179,'10 programa 3 lentelė'!G5:G392)</f>
        <v>0</v>
      </c>
      <c r="G13" s="126">
        <f>SUMIF('10 programa 3 lentelė'!C5:C392,'10 programa 3 lentelė'!C179,'10 programa 3 lentelė'!H5:H392)</f>
        <v>0</v>
      </c>
    </row>
    <row r="14" spans="2:7" ht="40.5" customHeight="1" x14ac:dyDescent="0.25">
      <c r="B14" s="133" t="s">
        <v>340</v>
      </c>
      <c r="C14" s="137" t="s">
        <v>341</v>
      </c>
      <c r="D14" s="127">
        <f>SUM(D16:D21)</f>
        <v>115.6</v>
      </c>
      <c r="E14" s="127">
        <f t="shared" ref="E14:G14" si="1">SUM(E16:E21)</f>
        <v>791.7</v>
      </c>
      <c r="F14" s="127">
        <f t="shared" si="1"/>
        <v>3564</v>
      </c>
      <c r="G14" s="127">
        <f t="shared" si="1"/>
        <v>3061.4</v>
      </c>
    </row>
    <row r="15" spans="2:7" ht="16.5" customHeight="1" x14ac:dyDescent="0.25">
      <c r="B15" s="135"/>
      <c r="C15" s="137" t="s">
        <v>329</v>
      </c>
      <c r="D15" s="4"/>
      <c r="E15" s="4"/>
      <c r="F15" s="4"/>
      <c r="G15" s="4"/>
    </row>
    <row r="16" spans="2:7" ht="12.75" customHeight="1" x14ac:dyDescent="0.25">
      <c r="B16" s="135" t="s">
        <v>342</v>
      </c>
      <c r="C16" s="139" t="s">
        <v>343</v>
      </c>
      <c r="D16" s="126">
        <f>SUMIF('10 programa 3 lentelė'!C5:C392,'10 programa 3 lentelė'!C30,'10 programa 3 lentelė'!E5:E392)</f>
        <v>96</v>
      </c>
      <c r="E16" s="126">
        <f>SUMIF('10 programa 3 lentelė'!C5:C392,'10 programa 3 lentelė'!C30,'10 programa 3 lentelė'!F5:F392)</f>
        <v>791.7</v>
      </c>
      <c r="F16" s="126">
        <f>SUMIF('10 programa 3 lentelė'!C5:C392,'10 programa 3 lentelė'!C30,'10 programa 3 lentelė'!G5:G392)</f>
        <v>3564</v>
      </c>
      <c r="G16" s="126">
        <f>SUMIF('10 programa 3 lentelė'!C5:C392,'10 programa 3 lentelė'!C30,'10 programa 3 lentelė'!H5:H392)</f>
        <v>3061.4</v>
      </c>
    </row>
    <row r="17" spans="2:9" ht="12.75" customHeight="1" x14ac:dyDescent="0.25">
      <c r="B17" s="135" t="s">
        <v>344</v>
      </c>
      <c r="C17" s="139" t="s">
        <v>345</v>
      </c>
      <c r="D17" s="126" cm="1">
        <f t="array" ref="D17">SUMIF('10 programa 3 lentelė'!C5:C392,'10 programa 3 lentelė'!C00,'10 programa 3 lentelė'!E5:E392)</f>
        <v>0</v>
      </c>
      <c r="E17" s="126" cm="1">
        <f t="array" ref="E17">SUMIF('10 programa 3 lentelė'!C5:C392,'10 programa 3 lentelė'!C00,'10 programa 3 lentelė'!F5:F392)</f>
        <v>0</v>
      </c>
      <c r="F17" s="126" cm="1">
        <f t="array" ref="F17">SUMIF('10 programa 3 lentelė'!C5:C392,'10 programa 3 lentelė'!C00,'10 programa 3 lentelė'!G5:G392)</f>
        <v>0</v>
      </c>
      <c r="G17" s="126" cm="1">
        <f t="array" ref="G17">SUMIF('10 programa 3 lentelė'!C5:C392,'10 programa 3 lentelė'!C00,'10 programa 3 lentelė'!H5:H392)</f>
        <v>0</v>
      </c>
    </row>
    <row r="18" spans="2:9" ht="24.75" customHeight="1" x14ac:dyDescent="0.25">
      <c r="B18" s="135" t="s">
        <v>346</v>
      </c>
      <c r="C18" s="139" t="s">
        <v>347</v>
      </c>
      <c r="D18" s="126" cm="1">
        <f t="array" ref="D18">SUMIF('10 programa 3 lentelė'!C5:C392,'10 programa 3 lentelė'!C00,'10 programa 3 lentelė'!E5:E392)</f>
        <v>0</v>
      </c>
      <c r="E18" s="126" cm="1">
        <f t="array" ref="E18">SUMIF('10 programa 3 lentelė'!C5:C392,'10 programa 3 lentelė'!C00,'10 programa 3 lentelė'!F5:F392)</f>
        <v>0</v>
      </c>
      <c r="F18" s="126" cm="1">
        <f t="array" ref="F18">SUMIF('10 programa 3 lentelė'!C5:C392,'10 programa 3 lentelė'!C00,'10 programa 3 lentelė'!G5:G392)</f>
        <v>0</v>
      </c>
      <c r="G18" s="126" cm="1">
        <f t="array" ref="G18">SUMIF('10 programa 3 lentelė'!C5:C392,'10 programa 3 lentelė'!C00,'10 programa 3 lentelė'!H5:H392)</f>
        <v>0</v>
      </c>
    </row>
    <row r="19" spans="2:9" ht="12.75" customHeight="1" x14ac:dyDescent="0.25">
      <c r="B19" s="135" t="s">
        <v>348</v>
      </c>
      <c r="C19" s="139" t="s">
        <v>349</v>
      </c>
      <c r="D19" s="126">
        <f>SUMIF('10 programa 3 lentelė'!C5:C392,'10 programa 3 lentelė'!C104,'10 programa 3 lentelė'!E5:E392)</f>
        <v>19.599999999999998</v>
      </c>
      <c r="E19" s="126">
        <f>SUMIF('10 programa 3 lentelė'!C5:C392,'10 programa 3 lentelė'!C104,'10 programa 3 lentelė'!F5:F392)</f>
        <v>0</v>
      </c>
      <c r="F19" s="126">
        <f>SUMIF('10 programa 3 lentelė'!C5:C392,'10 programa 3 lentelė'!C104,'10 programa 3 lentelė'!G5:G392)</f>
        <v>0</v>
      </c>
      <c r="G19" s="126">
        <f>SUMIF('10 programa 3 lentelė'!C5:C392,'10 programa 3 lentelė'!C104,'10 programa 3 lentelė'!H5:H392)</f>
        <v>0</v>
      </c>
    </row>
    <row r="20" spans="2:9" ht="12.75" customHeight="1" x14ac:dyDescent="0.25">
      <c r="B20" s="135" t="s">
        <v>350</v>
      </c>
      <c r="C20" s="139" t="s">
        <v>351</v>
      </c>
      <c r="D20" s="126" cm="1">
        <f t="array" ref="D20">SUMIF('10 programa 3 lentelė'!C5:C392,'10 programa 3 lentelė'!C00,'10 programa 3 lentelė'!E5:E392)</f>
        <v>0</v>
      </c>
      <c r="E20" s="126" cm="1">
        <f t="array" ref="E20">SUMIF('10 programa 3 lentelė'!C5:C392,'10 programa 3 lentelė'!C00,'10 programa 3 lentelė'!C5:C392)</f>
        <v>0</v>
      </c>
      <c r="F20" s="126" cm="1">
        <f t="array" ref="F20">SUMIF('10 programa 3 lentelė'!C5:C392,'10 programa 3 lentelė'!C00,'10 programa 3 lentelė'!G5:G392)</f>
        <v>0</v>
      </c>
      <c r="G20" s="126" cm="1">
        <f t="array" ref="G20">SUMIF('10 programa 3 lentelė'!C5:C392,'10 programa 3 lentelė'!C00,'10 programa 3 lentelė'!H5:H392)</f>
        <v>0</v>
      </c>
    </row>
    <row r="21" spans="2:9" ht="12.75" customHeight="1" x14ac:dyDescent="0.25">
      <c r="B21" s="135" t="s">
        <v>352</v>
      </c>
      <c r="C21" s="139" t="s">
        <v>353</v>
      </c>
      <c r="D21" s="126" cm="1">
        <f t="array" ref="D21">SUMIF('10 programa 3 lentelė'!C5:C392,'10 programa 3 lentelė'!C00,'10 programa 3 lentelė'!E5:E392)</f>
        <v>0</v>
      </c>
      <c r="E21" s="126" cm="1">
        <f t="array" ref="E21">SUMIF('10 programa 3 lentelė'!C5:C392,'10 programa 3 lentelė'!C00,'10 programa 3 lentelė'!F5:F392)</f>
        <v>0</v>
      </c>
      <c r="F21" s="126" cm="1">
        <f t="array" ref="F21">SUMIF('10 programa 3 lentelė'!C5:C392,'10 programa 3 lentelė'!C00,'10 programa 3 lentelė'!G5:G392)</f>
        <v>0</v>
      </c>
      <c r="G21" s="126" cm="1">
        <f t="array" ref="G21">SUMIF('10 programa 3 lentelė'!C5:C392,'10 programa 3 lentelė'!C00,'10 programa 3 lentelė'!H5:H392)</f>
        <v>0</v>
      </c>
    </row>
    <row r="22" spans="2:9" ht="26.4" x14ac:dyDescent="0.25">
      <c r="B22" s="135"/>
      <c r="C22" s="136" t="s">
        <v>354</v>
      </c>
      <c r="D22" s="5">
        <f>D6+D14</f>
        <v>189806.29999999993</v>
      </c>
      <c r="E22" s="5">
        <f>E6+E14</f>
        <v>208035.3</v>
      </c>
      <c r="F22" s="5">
        <f t="shared" ref="F22:G22" si="2">F6+F14</f>
        <v>199032.29999999996</v>
      </c>
      <c r="G22" s="5">
        <f t="shared" si="2"/>
        <v>195108.69999999998</v>
      </c>
      <c r="I22" s="51"/>
    </row>
    <row r="23" spans="2:9" ht="18" customHeight="1" x14ac:dyDescent="0.25">
      <c r="B23" s="231"/>
      <c r="C23" s="232" t="s">
        <v>316</v>
      </c>
      <c r="D23" s="233">
        <f>'10 programa 3 lentelė'!E392</f>
        <v>0</v>
      </c>
      <c r="E23" s="233">
        <f>'10 programa 3 lentelė'!F392</f>
        <v>263</v>
      </c>
      <c r="F23" s="233">
        <f>+'10 programa 3 lentelė'!G392</f>
        <v>258.90000000000003</v>
      </c>
      <c r="G23" s="233">
        <f>'10 programa 3 lentelė'!H392</f>
        <v>425.8</v>
      </c>
    </row>
    <row r="24" spans="2:9" ht="26.4" x14ac:dyDescent="0.25">
      <c r="B24" s="230"/>
      <c r="C24" s="234" t="s">
        <v>317</v>
      </c>
      <c r="D24" s="230"/>
      <c r="E24" s="235">
        <f ca="1">+'10 programa 3 lentelė'!F393</f>
        <v>18229</v>
      </c>
      <c r="F24" s="235">
        <f ca="1">+'10 programa 3 lentelė'!G393</f>
        <v>-9002.9999999999709</v>
      </c>
      <c r="G24" s="235">
        <f ca="1">+'10 programa 3 lentelė'!H393</f>
        <v>-3923.5999999999767</v>
      </c>
    </row>
    <row r="25" spans="2:9" x14ac:dyDescent="0.25">
      <c r="B25" s="43"/>
      <c r="C25" s="43"/>
      <c r="D25" s="43"/>
      <c r="E25" s="43"/>
      <c r="F25" s="43"/>
      <c r="G25" s="43"/>
    </row>
    <row r="26" spans="2:9" x14ac:dyDescent="0.25">
      <c r="D26" s="456">
        <f>+D22-'10 programa 3 lentelė'!E391</f>
        <v>0</v>
      </c>
      <c r="E26" s="456">
        <f ca="1">+E22-'10 programa 3 lentelė'!F391</f>
        <v>0</v>
      </c>
      <c r="F26" s="456">
        <f ca="1">+F22-'10 programa 3 lentelė'!G391</f>
        <v>0</v>
      </c>
      <c r="G26" s="456">
        <f ca="1">+G22-'10 programa 3 lentelė'!H391</f>
        <v>0</v>
      </c>
      <c r="H26" s="457"/>
    </row>
    <row r="29" spans="2:9" x14ac:dyDescent="0.25">
      <c r="E29" s="215"/>
    </row>
  </sheetData>
  <mergeCells count="2">
    <mergeCell ref="B5:G5"/>
    <mergeCell ref="B1:G1"/>
  </mergeCells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2</vt:i4>
      </vt:variant>
    </vt:vector>
  </HeadingPairs>
  <TitlesOfParts>
    <vt:vector size="4" baseType="lpstr">
      <vt:lpstr>10 programa 3 lentelė</vt:lpstr>
      <vt:lpstr>Lėšų suvestinė 2 lentelė</vt:lpstr>
      <vt:lpstr>'10 programa 3 lentelė'!Print_Area</vt:lpstr>
      <vt:lpstr>'10 programa 3 lentelė'!Print_Titles</vt:lpstr>
    </vt:vector>
  </TitlesOfParts>
  <Manager/>
  <Company>KMSA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Snieguolė Kačerauskaitė</dc:creator>
  <cp:keywords/>
  <dc:description/>
  <cp:lastModifiedBy>Snieguolė Kačerauskaitė</cp:lastModifiedBy>
  <cp:revision/>
  <cp:lastPrinted>2024-12-20T07:31:34Z</cp:lastPrinted>
  <dcterms:created xsi:type="dcterms:W3CDTF">2023-07-10T07:04:14Z</dcterms:created>
  <dcterms:modified xsi:type="dcterms:W3CDTF">2024-12-20T07:32:15Z</dcterms:modified>
  <cp:category/>
  <cp:contentStatus/>
</cp:coreProperties>
</file>